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D:\Forschung\gerechtigkeit\Vtlg\"/>
    </mc:Choice>
  </mc:AlternateContent>
  <bookViews>
    <workbookView xWindow="0" yWindow="0" windowWidth="21600" windowHeight="9735" firstSheet="3" activeTab="3"/>
  </bookViews>
  <sheets>
    <sheet name="Table of Conte" sheetId="2" r:id="rId1"/>
    <sheet name="F.1 Bi-annual vs. Annual" sheetId="6" r:id="rId2"/>
    <sheet name="F.2 Household Wealth SNB" sheetId="3" r:id="rId3"/>
    <sheet name="F.3 Offshore and Onshore Wealth" sheetId="4" r:id="rId4"/>
    <sheet name="F.4 Fiduciary Deposits" sheetId="5" r:id="rId5"/>
    <sheet name="F.5 Correlations" sheetId="1" r:id="rId6"/>
    <sheet name="F.6 Special cases" sheetId="7" r:id="rId7"/>
    <sheet name="F.7 OLS Regression results" sheetId="8" r:id="rId8"/>
  </sheets>
  <externalReferences>
    <externalReference r:id="rId9"/>
  </externalReferenc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Y4" i="8" l="1"/>
  <c r="X4" i="8"/>
  <c r="W4" i="8"/>
  <c r="U4" i="8"/>
  <c r="T4" i="8"/>
  <c r="S4" i="8"/>
  <c r="Q4" i="8"/>
  <c r="P4" i="8"/>
  <c r="O4" i="8"/>
  <c r="M4" i="8"/>
  <c r="L4" i="8"/>
  <c r="K4" i="8"/>
  <c r="I4" i="8"/>
  <c r="H4" i="8"/>
  <c r="G4" i="8"/>
  <c r="W3" i="8"/>
  <c r="Y19" i="8"/>
  <c r="X19" i="8"/>
  <c r="W19" i="8"/>
  <c r="Y18" i="8"/>
  <c r="X18" i="8"/>
  <c r="W18" i="8"/>
  <c r="Y16" i="8"/>
  <c r="X16" i="8"/>
  <c r="W16" i="8"/>
  <c r="Y15" i="8"/>
  <c r="X15" i="8"/>
  <c r="W15" i="8"/>
  <c r="Y13" i="8"/>
  <c r="X13" i="8"/>
  <c r="W13" i="8"/>
  <c r="Y12" i="8"/>
  <c r="X12" i="8"/>
  <c r="W12" i="8"/>
  <c r="Y10" i="8"/>
  <c r="X10" i="8"/>
  <c r="W10" i="8"/>
  <c r="Y9" i="8"/>
  <c r="X9" i="8"/>
  <c r="W9" i="8"/>
  <c r="Y7" i="8"/>
  <c r="X7" i="8"/>
  <c r="W7" i="8"/>
  <c r="Y6" i="8"/>
  <c r="X6" i="8"/>
  <c r="W6" i="8"/>
  <c r="U19" i="8"/>
  <c r="T19" i="8"/>
  <c r="S19" i="8"/>
  <c r="U18" i="8"/>
  <c r="T18" i="8"/>
  <c r="S18" i="8"/>
  <c r="U16" i="8"/>
  <c r="T16" i="8"/>
  <c r="S16" i="8"/>
  <c r="U15" i="8"/>
  <c r="T15" i="8"/>
  <c r="S15" i="8"/>
  <c r="U13" i="8"/>
  <c r="T13" i="8"/>
  <c r="S13" i="8"/>
  <c r="U12" i="8"/>
  <c r="T12" i="8"/>
  <c r="S12" i="8"/>
  <c r="U10" i="8"/>
  <c r="T10" i="8"/>
  <c r="S10" i="8"/>
  <c r="U9" i="8"/>
  <c r="T9" i="8"/>
  <c r="S9" i="8"/>
  <c r="U7" i="8"/>
  <c r="T7" i="8"/>
  <c r="S7" i="8"/>
  <c r="U6" i="8"/>
  <c r="T6" i="8"/>
  <c r="S6" i="8"/>
  <c r="S3" i="8"/>
  <c r="Q19" i="8"/>
  <c r="P19" i="8"/>
  <c r="O19" i="8"/>
  <c r="Q18" i="8"/>
  <c r="P18" i="8"/>
  <c r="O18" i="8"/>
  <c r="Q16" i="8"/>
  <c r="P16" i="8"/>
  <c r="O16" i="8"/>
  <c r="Q15" i="8"/>
  <c r="P15" i="8"/>
  <c r="O15" i="8"/>
  <c r="Q13" i="8"/>
  <c r="P13" i="8"/>
  <c r="O13" i="8"/>
  <c r="Q12" i="8"/>
  <c r="P12" i="8"/>
  <c r="O12" i="8"/>
  <c r="Q10" i="8"/>
  <c r="P10" i="8"/>
  <c r="O10" i="8"/>
  <c r="Q9" i="8"/>
  <c r="P9" i="8"/>
  <c r="O9" i="8"/>
  <c r="Q7" i="8"/>
  <c r="P7" i="8"/>
  <c r="O7" i="8"/>
  <c r="Q6" i="8"/>
  <c r="P6" i="8"/>
  <c r="O6" i="8"/>
  <c r="O3" i="8"/>
  <c r="M19" i="8"/>
  <c r="L19" i="8"/>
  <c r="K19" i="8"/>
  <c r="M18" i="8"/>
  <c r="L18" i="8"/>
  <c r="K18" i="8"/>
  <c r="M16" i="8"/>
  <c r="L16" i="8"/>
  <c r="K16" i="8"/>
  <c r="M15" i="8"/>
  <c r="L15" i="8"/>
  <c r="K15" i="8"/>
  <c r="M13" i="8"/>
  <c r="L13" i="8"/>
  <c r="K13" i="8"/>
  <c r="M12" i="8"/>
  <c r="L12" i="8"/>
  <c r="K12" i="8"/>
  <c r="M10" i="8"/>
  <c r="L10" i="8"/>
  <c r="K10" i="8"/>
  <c r="M9" i="8"/>
  <c r="L9" i="8"/>
  <c r="K9" i="8"/>
  <c r="M7" i="8"/>
  <c r="L7" i="8"/>
  <c r="K7" i="8"/>
  <c r="M6" i="8"/>
  <c r="L6" i="8"/>
  <c r="K6" i="8"/>
  <c r="K3" i="8"/>
  <c r="E19" i="8"/>
  <c r="D19" i="8"/>
  <c r="C19" i="8"/>
  <c r="A19" i="8"/>
  <c r="E18" i="8"/>
  <c r="D18" i="8"/>
  <c r="C18" i="8"/>
  <c r="A18" i="8"/>
  <c r="E16" i="8"/>
  <c r="D16" i="8"/>
  <c r="C16" i="8"/>
  <c r="A16" i="8"/>
  <c r="E15" i="8"/>
  <c r="D15" i="8"/>
  <c r="C15" i="8"/>
  <c r="A15" i="8"/>
  <c r="E13" i="8"/>
  <c r="D13" i="8"/>
  <c r="C13" i="8"/>
  <c r="A13" i="8"/>
  <c r="E12" i="8"/>
  <c r="D12" i="8"/>
  <c r="C12" i="8"/>
  <c r="A12" i="8"/>
  <c r="E10" i="8"/>
  <c r="D10" i="8"/>
  <c r="C10" i="8"/>
  <c r="A10" i="8"/>
  <c r="E9" i="8"/>
  <c r="D9" i="8"/>
  <c r="C9" i="8"/>
  <c r="A9" i="8"/>
  <c r="E7" i="8"/>
  <c r="D7" i="8"/>
  <c r="C7" i="8"/>
  <c r="A7" i="8"/>
  <c r="E6" i="8"/>
  <c r="D6" i="8"/>
  <c r="C6" i="8"/>
  <c r="A6" i="8"/>
  <c r="E4" i="8"/>
  <c r="D4" i="8"/>
  <c r="C4" i="8"/>
  <c r="C3" i="8"/>
  <c r="I19" i="8"/>
  <c r="H19" i="8"/>
  <c r="G19" i="8"/>
  <c r="I18" i="8"/>
  <c r="H18" i="8"/>
  <c r="G18" i="8"/>
  <c r="I16" i="8"/>
  <c r="H16" i="8"/>
  <c r="G16" i="8"/>
  <c r="I15" i="8"/>
  <c r="H15" i="8"/>
  <c r="G15" i="8"/>
  <c r="I13" i="8"/>
  <c r="H13" i="8"/>
  <c r="G13" i="8"/>
  <c r="I12" i="8"/>
  <c r="H12" i="8"/>
  <c r="G12" i="8"/>
  <c r="I10" i="8"/>
  <c r="H10" i="8"/>
  <c r="G10" i="8"/>
  <c r="I9" i="8"/>
  <c r="H9" i="8"/>
  <c r="G9" i="8"/>
  <c r="I7" i="8"/>
  <c r="H7" i="8"/>
  <c r="G7" i="8"/>
  <c r="I6" i="8"/>
  <c r="H6" i="8"/>
  <c r="G6" i="8"/>
  <c r="G3" i="8"/>
  <c r="A20" i="8"/>
  <c r="G20" i="4"/>
  <c r="G19" i="4"/>
  <c r="G18" i="4"/>
  <c r="G17" i="4"/>
  <c r="G16" i="4"/>
  <c r="G15" i="4"/>
  <c r="G14" i="4"/>
  <c r="G13" i="4"/>
  <c r="G12" i="4"/>
  <c r="G11" i="4"/>
  <c r="G10" i="4"/>
  <c r="G9" i="4"/>
  <c r="G8" i="4"/>
  <c r="G7" i="4"/>
  <c r="G6" i="4"/>
  <c r="G5" i="4"/>
  <c r="M10" i="3"/>
  <c r="C6" i="4" s="1"/>
  <c r="M11" i="3"/>
  <c r="Q11" i="3"/>
  <c r="M12" i="3"/>
  <c r="M13" i="3"/>
  <c r="C9" i="4" s="1"/>
  <c r="M14" i="3"/>
  <c r="Q14" i="3"/>
  <c r="M15" i="3"/>
  <c r="Q15" i="3"/>
  <c r="M16" i="3"/>
  <c r="M17" i="3"/>
  <c r="M18" i="3"/>
  <c r="C14" i="4" s="1"/>
  <c r="M19" i="3"/>
  <c r="Q19" i="3" s="1"/>
  <c r="M20" i="3"/>
  <c r="M21" i="3"/>
  <c r="Q21" i="3" s="1"/>
  <c r="M22" i="3"/>
  <c r="Q22" i="3" s="1"/>
  <c r="M23" i="3"/>
  <c r="C19" i="4"/>
  <c r="K23" i="3"/>
  <c r="N23" i="3"/>
  <c r="K22" i="3"/>
  <c r="N22" i="3" s="1"/>
  <c r="K21" i="3"/>
  <c r="N21" i="3"/>
  <c r="P21" i="3" s="1"/>
  <c r="K20" i="3"/>
  <c r="N20" i="3"/>
  <c r="P20" i="3"/>
  <c r="K19" i="3"/>
  <c r="N19" i="3"/>
  <c r="P19" i="3"/>
  <c r="K18" i="3"/>
  <c r="N18" i="3" s="1"/>
  <c r="P18" i="3" s="1"/>
  <c r="K17" i="3"/>
  <c r="N17" i="3"/>
  <c r="P17" i="3" s="1"/>
  <c r="K16" i="3"/>
  <c r="N16" i="3"/>
  <c r="P16" i="3"/>
  <c r="K15" i="3"/>
  <c r="N15" i="3"/>
  <c r="P15" i="3"/>
  <c r="K14" i="3"/>
  <c r="N14" i="3" s="1"/>
  <c r="P14" i="3" s="1"/>
  <c r="K13" i="3"/>
  <c r="N13" i="3"/>
  <c r="P13" i="3" s="1"/>
  <c r="K12" i="3"/>
  <c r="N12" i="3"/>
  <c r="K11" i="3"/>
  <c r="N11" i="3" s="1"/>
  <c r="K10" i="3"/>
  <c r="N10" i="3"/>
  <c r="C13" i="4"/>
  <c r="C11" i="4"/>
  <c r="C10" i="4"/>
  <c r="C7" i="4"/>
  <c r="C8" i="4"/>
  <c r="C12" i="4"/>
  <c r="C16" i="4"/>
  <c r="C18" i="4"/>
  <c r="Q17" i="3"/>
  <c r="Q12" i="3"/>
  <c r="Q16" i="3"/>
  <c r="Q20" i="3"/>
  <c r="Q23" i="3"/>
  <c r="C32" i="1"/>
  <c r="C19" i="1"/>
  <c r="C20" i="1"/>
  <c r="C21" i="1"/>
  <c r="C22" i="1"/>
  <c r="C23" i="1"/>
  <c r="C24" i="1"/>
  <c r="C25" i="1"/>
  <c r="C26" i="1"/>
  <c r="C27" i="1"/>
  <c r="C28" i="1"/>
  <c r="C29" i="1"/>
  <c r="C30" i="1"/>
  <c r="C31" i="1"/>
  <c r="C18" i="1"/>
  <c r="C17" i="1"/>
  <c r="C15" i="1"/>
  <c r="C13" i="1"/>
  <c r="C11" i="1"/>
  <c r="C9" i="1"/>
  <c r="C7" i="1"/>
  <c r="C5" i="1"/>
  <c r="H18" i="1"/>
  <c r="H19" i="1"/>
  <c r="H20" i="1"/>
  <c r="H21" i="1"/>
  <c r="H22" i="1"/>
  <c r="H23" i="1"/>
  <c r="H24" i="1"/>
  <c r="H25" i="1"/>
  <c r="H26" i="1"/>
  <c r="H27" i="1"/>
  <c r="H28" i="1"/>
  <c r="H29" i="1"/>
  <c r="H30" i="1"/>
  <c r="H31" i="1"/>
  <c r="H32" i="1"/>
  <c r="H17" i="1"/>
  <c r="K6" i="1" s="1"/>
  <c r="H15" i="1"/>
  <c r="H13" i="1"/>
  <c r="H11" i="1"/>
  <c r="H9" i="1"/>
  <c r="H7" i="1"/>
  <c r="H5" i="1"/>
  <c r="E13" i="1"/>
  <c r="E15" i="1"/>
  <c r="E17" i="1"/>
  <c r="D3" i="1"/>
  <c r="D4" i="1"/>
  <c r="D5" i="1"/>
  <c r="E5" i="1" s="1"/>
  <c r="D6" i="1"/>
  <c r="D7" i="1"/>
  <c r="D8" i="1"/>
  <c r="D9" i="1"/>
  <c r="E11" i="1" s="1"/>
  <c r="E32" i="1"/>
  <c r="E31" i="1"/>
  <c r="E30" i="1"/>
  <c r="E29" i="1"/>
  <c r="E28" i="1"/>
  <c r="E27" i="1"/>
  <c r="E26" i="1"/>
  <c r="E25" i="1"/>
  <c r="E24" i="1"/>
  <c r="E23" i="1"/>
  <c r="E22" i="1"/>
  <c r="E21" i="1"/>
  <c r="E20" i="1"/>
  <c r="E19" i="1"/>
  <c r="E18" i="1"/>
  <c r="K10" i="1" l="1"/>
  <c r="E7" i="1"/>
  <c r="E9" i="1"/>
  <c r="J10" i="1"/>
  <c r="J6" i="1"/>
  <c r="Q13" i="3"/>
  <c r="C15" i="4"/>
  <c r="Q10" i="3"/>
  <c r="Q18" i="3"/>
  <c r="C17" i="4"/>
</calcChain>
</file>

<file path=xl/sharedStrings.xml><?xml version="1.0" encoding="utf-8"?>
<sst xmlns="http://schemas.openxmlformats.org/spreadsheetml/2006/main" count="230" uniqueCount="130">
  <si>
    <t>-</t>
  </si>
  <si>
    <t>Year</t>
  </si>
  <si>
    <t>Top 1%</t>
  </si>
  <si>
    <t>Sources:</t>
  </si>
  <si>
    <t>http://www.snb.ch/en/iabout/stat/statpub/statmon/stats/statmon</t>
  </si>
  <si>
    <t>Monthly Statistical Bulletin, Swiss National Bank</t>
  </si>
  <si>
    <t>Swiss Stock Market Index (Bankverein) until 1987</t>
  </si>
  <si>
    <t>GDP Change yoy</t>
  </si>
  <si>
    <t>Stock  Index</t>
  </si>
  <si>
    <t>Change in Stock Index</t>
  </si>
  <si>
    <t>Real GDP Change yoy: Development Indicators, World Bank</t>
  </si>
  <si>
    <t>Swiss Stock Index: 1981-1987, Swiss Stock Market Index, Statistical Yearbook of Switzerland, www.bfs.ch; 1988-, SPI, Series F7, Monthly Statistical Bulletin, SNB</t>
  </si>
  <si>
    <t>GDP Change 2y before 1995</t>
  </si>
  <si>
    <t>Change in top 1%</t>
  </si>
  <si>
    <t>Correlation GDP/Top Income Changes</t>
  </si>
  <si>
    <t>Correlation Stock Market/Top Income Changes</t>
  </si>
  <si>
    <t>1995-2010</t>
  </si>
  <si>
    <t>1983-2010</t>
  </si>
  <si>
    <t>Table of contents</t>
  </si>
  <si>
    <t>Total</t>
  </si>
  <si>
    <t>Offshore Portfolio Wealth</t>
  </si>
  <si>
    <t xml:space="preserve">Domestic Wealth </t>
  </si>
  <si>
    <t>Onshore Wealth</t>
  </si>
  <si>
    <t/>
  </si>
  <si>
    <t>M</t>
  </si>
  <si>
    <t>*ca. 35% des Pensionskassenvermögens im Ausland angelegt</t>
  </si>
  <si>
    <t>Financial assets</t>
  </si>
  <si>
    <t>Currency and deposits</t>
  </si>
  <si>
    <t>Debt securities</t>
  </si>
  <si>
    <t>Shares</t>
  </si>
  <si>
    <t>Units in collective investment schemes</t>
  </si>
  <si>
    <t>Structured products</t>
  </si>
  <si>
    <t>Insurance and pension schemes</t>
  </si>
  <si>
    <t>Real estate at 80%</t>
  </si>
  <si>
    <t>Liabilities</t>
  </si>
  <si>
    <t>M (missing values)</t>
  </si>
  <si>
    <t>Total Wealth</t>
  </si>
  <si>
    <t>This table compares total wealth calculated by the SNB, based inter alia on the account statistics of banks with taxable wealth</t>
  </si>
  <si>
    <t>Wealth without pensions</t>
  </si>
  <si>
    <t>Net wealth without pension</t>
  </si>
  <si>
    <t>Taxable Wealth</t>
  </si>
  <si>
    <t>Columns M and O are total wealth computed out of bank statistics and tax statistics, respectively. Column P denotes their ratio.</t>
  </si>
  <si>
    <t>Real estate*</t>
  </si>
  <si>
    <t>*Real estate without real estate used for business reasons</t>
  </si>
  <si>
    <t>Sources: Swiss National Bank, Household Wealth 2013; Tax Statistics ESTV</t>
  </si>
  <si>
    <t>CHF</t>
  </si>
  <si>
    <t>USD</t>
  </si>
  <si>
    <t>EUR</t>
  </si>
  <si>
    <t>Z</t>
  </si>
  <si>
    <t>Sources: Swiss National Bank, Banks in Switzerland 2014, Table 36, Fiduciary transactions, domestic and foreign, by currency</t>
  </si>
  <si>
    <t>Other currencies</t>
  </si>
  <si>
    <t>in Millions of Swiss Francs</t>
  </si>
  <si>
    <t>Precious metals</t>
  </si>
  <si>
    <t>Fiduciary assets</t>
  </si>
  <si>
    <t>Fiducary liabilities</t>
  </si>
  <si>
    <t>Share Offshore in Portfolio Wealth</t>
  </si>
  <si>
    <t>Domestic Wealth is the difference between total wealth (from Household Wealth SNB) minus offshore portfolio wealth</t>
  </si>
  <si>
    <t>Share offshore in net wealth</t>
  </si>
  <si>
    <t>Top 10%</t>
  </si>
  <si>
    <t>Top 5%</t>
  </si>
  <si>
    <t>Top 0.5%</t>
  </si>
  <si>
    <t>Top 0.1%</t>
  </si>
  <si>
    <t>Top 0.01%</t>
  </si>
  <si>
    <t>year</t>
  </si>
  <si>
    <t>P90d</t>
  </si>
  <si>
    <t>P95d</t>
  </si>
  <si>
    <t>P99d</t>
  </si>
  <si>
    <t>P995d</t>
  </si>
  <si>
    <t>P999d</t>
  </si>
  <si>
    <t>P9999d</t>
  </si>
  <si>
    <t>Top groups shares: Bi-annual average</t>
  </si>
  <si>
    <t>Top groups shares: Annual</t>
  </si>
  <si>
    <t>Source: Individual tax data for the canton of Zurich</t>
  </si>
  <si>
    <t>Ratio Tax Wealth / Net wealth w. pension</t>
  </si>
  <si>
    <t>All taxpayers</t>
  </si>
  <si>
    <t>below top 10%</t>
  </si>
  <si>
    <t>top 10%-top5%</t>
  </si>
  <si>
    <t>top 5%-top1%</t>
  </si>
  <si>
    <t>top 1%-top0.5%</t>
  </si>
  <si>
    <t>top 0.5%-top0.1%</t>
  </si>
  <si>
    <t>top 0.1%-top0.01%</t>
  </si>
  <si>
    <t>above top 0.01%</t>
  </si>
  <si>
    <t>above top 0.1%</t>
  </si>
  <si>
    <t>Total no. of special taxpayers</t>
  </si>
  <si>
    <t>exp</t>
  </si>
  <si>
    <t>spec</t>
  </si>
  <si>
    <t>total</t>
  </si>
  <si>
    <t>…</t>
  </si>
  <si>
    <t>Note: Share of special tax units in the whole population and among different income groups</t>
  </si>
  <si>
    <t>Years 2001 and 2002 underestimate the number and share of special cases, as in these years data from the cantons VD, VS, and TI are missing in the underlying federal income tax data</t>
  </si>
  <si>
    <t>exp: Expenditure-based tax units</t>
  </si>
  <si>
    <t>spec: Tax units with taxable income below rate-determining income due to, e.g., international income allocation</t>
  </si>
  <si>
    <t>Source: Individual federal income tax data, ESTV Bern.</t>
  </si>
  <si>
    <t>Model II is used to predict the top shares in years 1999, 2000</t>
  </si>
  <si>
    <t>Model III is used to predict the top shares in years 2001, 2002</t>
  </si>
  <si>
    <t>Model I is used to predict the top shares in years 1995, 1996, 1997, 1998</t>
  </si>
  <si>
    <t>Note:</t>
  </si>
  <si>
    <t>Top shares in available cantons</t>
  </si>
  <si>
    <t>Dependent: Top shares in Switzerland</t>
  </si>
  <si>
    <t xml:space="preserve"> </t>
  </si>
  <si>
    <t>* p&lt;0.05,  ** p&lt;0.01, *** p&lt;0.001</t>
  </si>
  <si>
    <t>Technical Notes on the Construction  of Top Income Data Series (pdf.)</t>
  </si>
  <si>
    <t>Online Appendix to Foellmi / Martínez</t>
  </si>
  <si>
    <t>Correlations of GDP and Stockmarket with Top Incomes</t>
  </si>
  <si>
    <t>Share of Expenditure-based Tax Units and Special Cases</t>
  </si>
  <si>
    <t>Estimation of Swiss Top Income Shares Using OLS Regressions</t>
  </si>
  <si>
    <t>Onshore and Offshore Portfolio Wealth by Swiss Residents</t>
  </si>
  <si>
    <t>Fiduciary Deposits of Swiss Residents</t>
  </si>
  <si>
    <t>Two-Year Averages of Top Income Shares</t>
  </si>
  <si>
    <t>Household Wealth SNB</t>
  </si>
  <si>
    <t>D</t>
  </si>
  <si>
    <t>C</t>
  </si>
  <si>
    <t>Additional Figures (pdf.)</t>
  </si>
  <si>
    <t>Robustness of the Estimation Results (pdf.)</t>
  </si>
  <si>
    <t>E</t>
  </si>
  <si>
    <t>F.1</t>
  </si>
  <si>
    <t>F.2</t>
  </si>
  <si>
    <t>F.3</t>
  </si>
  <si>
    <t>F.4</t>
  </si>
  <si>
    <t>F.5</t>
  </si>
  <si>
    <t>F.6</t>
  </si>
  <si>
    <t>F.7</t>
  </si>
  <si>
    <t>F.1: Two-Year Averages of Top Income Shares - Comparison of Annual bs. Bi-Annual Average for the Canton of Zurich</t>
  </si>
  <si>
    <t>F.2: Household Wealth SNB - Total wealth based on bank statistics versus taxable wealth</t>
  </si>
  <si>
    <t>F.3: Onshore and Offshore Portfolio Wealth by Swiss Residents</t>
  </si>
  <si>
    <t>F.4: Fiduciary Deposits of Swiss Residents</t>
  </si>
  <si>
    <t>F.5: Correlations of GDP and Stockmarket with Change in Top 1% Income Share</t>
  </si>
  <si>
    <t>F.6: Share of Expenditure-based Tax Units and Special Cases</t>
  </si>
  <si>
    <t>F.7: Estimation of Swiss Top Income Shares Using OLS Regressions</t>
  </si>
  <si>
    <t>Source: Swiss National Bank, Monthly Statistical Bulletin Series D51a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</si>
</sst>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0.0"/>
    <numFmt numFmtId="165" formatCode="0.0%"/>
    <numFmt numFmtId="166" formatCode="0.000"/>
    <numFmt numFmtId="167" formatCode="_ * #,##0_ ;_ * \-#,##0_ ;_ * &quot;-&quot;??_ ;_ @_ "/>
    <numFmt numFmtId="168" formatCode="yyyy"/>
  </numFmts>
  <fonts count="10" x14ac:knownFonts="1">
    <font>
      <sz val="11"/>
      <color theme="1"/>
      <name val="Calibri"/>
      <family val="2"/>
      <scheme val="minor"/>
    </font>
    <font>
      <sz val="11"/>
      <color theme="1"/>
      <name val="Calibri"/>
      <family val="2"/>
      <scheme val="minor"/>
    </font>
    <font>
      <sz val="12"/>
      <color theme="1"/>
      <name val="Arial Unicode MS"/>
      <family val="2"/>
    </font>
    <font>
      <sz val="8"/>
      <name val="Arial"/>
      <family val="2"/>
    </font>
    <font>
      <b/>
      <sz val="11"/>
      <color theme="1"/>
      <name val="Calibri"/>
      <family val="2"/>
      <scheme val="minor"/>
    </font>
    <font>
      <sz val="10"/>
      <name val="Arial"/>
      <family val="2"/>
    </font>
    <font>
      <sz val="12"/>
      <color theme="0" tint="-0.499984740745262"/>
      <name val="Calibri"/>
      <scheme val="minor"/>
    </font>
    <font>
      <u/>
      <sz val="11"/>
      <color theme="10"/>
      <name val="Calibri"/>
      <family val="2"/>
      <scheme val="minor"/>
    </font>
    <font>
      <u/>
      <sz val="11"/>
      <color theme="11"/>
      <name val="Calibri"/>
      <family val="2"/>
      <scheme val="minor"/>
    </font>
    <font>
      <i/>
      <sz val="11"/>
      <color theme="1"/>
      <name val="Calibri"/>
      <scheme val="minor"/>
    </font>
  </fonts>
  <fills count="4">
    <fill>
      <patternFill patternType="none"/>
    </fill>
    <fill>
      <patternFill patternType="gray125"/>
    </fill>
    <fill>
      <patternFill patternType="solid">
        <fgColor indexed="40"/>
        <bgColor indexed="64"/>
      </patternFill>
    </fill>
    <fill>
      <patternFill patternType="solid">
        <fgColor theme="6" tint="0.79998168889431442"/>
        <bgColor indexed="64"/>
      </patternFill>
    </fill>
  </fills>
  <borders count="4">
    <border>
      <left/>
      <right/>
      <top/>
      <bottom/>
      <diagonal/>
    </border>
    <border>
      <left/>
      <right/>
      <top style="medium">
        <color rgb="FFFAFAFA"/>
      </top>
      <bottom/>
      <diagonal/>
    </border>
    <border>
      <left/>
      <right/>
      <top/>
      <bottom style="thin">
        <color auto="1"/>
      </bottom>
      <diagonal/>
    </border>
    <border>
      <left/>
      <right/>
      <top/>
      <bottom style="double">
        <color auto="1"/>
      </bottom>
      <diagonal/>
    </border>
  </borders>
  <cellStyleXfs count="18">
    <xf numFmtId="0" fontId="0"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61">
    <xf numFmtId="0" fontId="0" fillId="0" borderId="0" xfId="0"/>
    <xf numFmtId="0" fontId="0" fillId="0" borderId="0" xfId="0" applyFill="1"/>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left" vertical="center" wrapText="1"/>
    </xf>
    <xf numFmtId="164" fontId="0" fillId="0" borderId="0" xfId="0" applyNumberFormat="1" applyAlignment="1">
      <alignment horizontal="right"/>
    </xf>
    <xf numFmtId="165" fontId="3" fillId="0" borderId="0" xfId="1" applyNumberFormat="1" applyFont="1"/>
    <xf numFmtId="166" fontId="0" fillId="0" borderId="0" xfId="0" applyNumberFormat="1"/>
    <xf numFmtId="2" fontId="0" fillId="0" borderId="0" xfId="0" applyNumberFormat="1"/>
    <xf numFmtId="164" fontId="0" fillId="0" borderId="0" xfId="0" applyNumberFormat="1"/>
    <xf numFmtId="10" fontId="0" fillId="0" borderId="0" xfId="1" applyNumberFormat="1" applyFont="1"/>
    <xf numFmtId="0" fontId="2" fillId="0" borderId="0" xfId="0" applyFont="1" applyFill="1" applyBorder="1" applyAlignment="1">
      <alignment horizontal="center" vertical="center" wrapText="1"/>
    </xf>
    <xf numFmtId="0" fontId="4" fillId="0" borderId="0" xfId="0" applyFont="1"/>
    <xf numFmtId="49" fontId="0" fillId="0" borderId="0" xfId="0" applyNumberFormat="1" applyAlignment="1">
      <alignment horizontal="left"/>
    </xf>
    <xf numFmtId="9" fontId="0" fillId="0" borderId="0" xfId="1" applyFont="1"/>
    <xf numFmtId="167" fontId="0" fillId="0" borderId="0" xfId="0" applyNumberFormat="1"/>
    <xf numFmtId="0" fontId="5" fillId="0" borderId="0" xfId="0" applyFont="1"/>
    <xf numFmtId="167" fontId="0" fillId="0" borderId="0" xfId="3" applyNumberFormat="1" applyFont="1"/>
    <xf numFmtId="0" fontId="0" fillId="0" borderId="0" xfId="0" applyAlignment="1">
      <alignment horizontal="right"/>
    </xf>
    <xf numFmtId="168" fontId="0" fillId="2" borderId="0" xfId="0" applyNumberFormat="1" applyFill="1"/>
    <xf numFmtId="167" fontId="0" fillId="0" borderId="0" xfId="3" applyNumberFormat="1" applyFont="1" applyAlignment="1">
      <alignment horizontal="right"/>
    </xf>
    <xf numFmtId="9" fontId="0" fillId="0" borderId="0" xfId="1" applyNumberFormat="1" applyFont="1"/>
    <xf numFmtId="49" fontId="4" fillId="0" borderId="0" xfId="0" applyNumberFormat="1" applyFont="1" applyAlignment="1">
      <alignment horizontal="left"/>
    </xf>
    <xf numFmtId="167" fontId="5" fillId="0" borderId="0" xfId="3" applyNumberFormat="1" applyFont="1"/>
    <xf numFmtId="165" fontId="5" fillId="0" borderId="0" xfId="1" applyNumberFormat="1" applyFont="1"/>
    <xf numFmtId="0" fontId="0" fillId="0" borderId="0" xfId="0" applyFont="1"/>
    <xf numFmtId="49" fontId="0" fillId="0" borderId="0" xfId="0" applyNumberFormat="1" applyAlignment="1">
      <alignment horizontal="right" wrapText="1"/>
    </xf>
    <xf numFmtId="0" fontId="0" fillId="0" borderId="0" xfId="0" applyAlignment="1">
      <alignment horizontal="left"/>
    </xf>
    <xf numFmtId="0" fontId="0" fillId="0" borderId="0" xfId="0" applyFont="1" applyBorder="1"/>
    <xf numFmtId="0" fontId="0" fillId="0" borderId="0" xfId="0" applyBorder="1"/>
    <xf numFmtId="0" fontId="0" fillId="0" borderId="2" xfId="0" applyFont="1" applyBorder="1" applyAlignment="1">
      <alignment horizontal="center"/>
    </xf>
    <xf numFmtId="0" fontId="0" fillId="0" borderId="2" xfId="0" quotePrefix="1" applyFont="1" applyBorder="1" applyAlignment="1">
      <alignment horizontal="center"/>
    </xf>
    <xf numFmtId="0" fontId="0" fillId="0" borderId="0" xfId="0" applyFont="1" applyBorder="1" applyAlignment="1">
      <alignment horizontal="center"/>
    </xf>
    <xf numFmtId="166" fontId="0" fillId="0" borderId="0" xfId="0" applyNumberFormat="1" applyFont="1" applyBorder="1" applyAlignment="1">
      <alignment horizontal="center"/>
    </xf>
    <xf numFmtId="166" fontId="0" fillId="0" borderId="0" xfId="0" applyNumberFormat="1" applyFont="1" applyBorder="1"/>
    <xf numFmtId="3" fontId="0" fillId="0" borderId="0" xfId="0" applyNumberFormat="1"/>
    <xf numFmtId="0" fontId="0" fillId="0" borderId="0" xfId="0" applyFont="1" applyFill="1" applyBorder="1" applyAlignment="1">
      <alignment horizontal="center"/>
    </xf>
    <xf numFmtId="166" fontId="0" fillId="0" borderId="0" xfId="0" applyNumberFormat="1" applyFont="1" applyFill="1" applyBorder="1" applyAlignment="1">
      <alignment horizontal="center"/>
    </xf>
    <xf numFmtId="166" fontId="0" fillId="0" borderId="0" xfId="0" applyNumberFormat="1" applyFont="1" applyFill="1" applyBorder="1"/>
    <xf numFmtId="3" fontId="6" fillId="0" borderId="0" xfId="0" applyNumberFormat="1" applyFont="1" applyFill="1"/>
    <xf numFmtId="0" fontId="0" fillId="0" borderId="0" xfId="0" applyFill="1" applyBorder="1"/>
    <xf numFmtId="0" fontId="0" fillId="3" borderId="0" xfId="0" applyFont="1" applyFill="1" applyBorder="1" applyAlignment="1">
      <alignment horizontal="center"/>
    </xf>
    <xf numFmtId="166" fontId="0" fillId="3" borderId="0" xfId="0" applyNumberFormat="1" applyFont="1" applyFill="1" applyBorder="1" applyAlignment="1">
      <alignment horizontal="center"/>
    </xf>
    <xf numFmtId="166" fontId="0" fillId="3" borderId="0" xfId="0" applyNumberFormat="1" applyFont="1" applyFill="1" applyBorder="1"/>
    <xf numFmtId="3" fontId="6" fillId="3" borderId="0" xfId="0" applyNumberFormat="1" applyFont="1" applyFill="1"/>
    <xf numFmtId="0" fontId="6" fillId="3" borderId="0" xfId="0" applyFont="1" applyFill="1"/>
    <xf numFmtId="0" fontId="0" fillId="0" borderId="0" xfId="0" applyBorder="1" applyAlignment="1">
      <alignment horizontal="center"/>
    </xf>
    <xf numFmtId="0" fontId="0" fillId="0" borderId="0" xfId="0" applyBorder="1" applyAlignment="1">
      <alignment horizontal="left"/>
    </xf>
    <xf numFmtId="0" fontId="0" fillId="0" borderId="0" xfId="0" applyBorder="1" applyAlignment="1"/>
    <xf numFmtId="0" fontId="0" fillId="0" borderId="0" xfId="0" applyBorder="1" applyAlignment="1">
      <alignment horizontal="left" vertical="top"/>
    </xf>
    <xf numFmtId="0" fontId="0" fillId="3" borderId="0" xfId="0" applyFont="1" applyFill="1" applyBorder="1" applyAlignment="1">
      <alignment horizontal="left" vertical="top"/>
    </xf>
    <xf numFmtId="0" fontId="0" fillId="0" borderId="2" xfId="0" applyBorder="1"/>
    <xf numFmtId="0" fontId="0" fillId="0" borderId="3" xfId="0" applyBorder="1"/>
    <xf numFmtId="0" fontId="9" fillId="0" borderId="2" xfId="0" applyFont="1" applyBorder="1"/>
    <xf numFmtId="0" fontId="4" fillId="0" borderId="0" xfId="0" applyFont="1" applyBorder="1"/>
    <xf numFmtId="1" fontId="0" fillId="0" borderId="0" xfId="0" applyNumberFormat="1" applyAlignment="1">
      <alignment horizontal="left"/>
    </xf>
    <xf numFmtId="0" fontId="0" fillId="0" borderId="0" xfId="0" applyAlignment="1"/>
    <xf numFmtId="0" fontId="0" fillId="0" borderId="0" xfId="0" applyAlignment="1">
      <alignment horizontal="left"/>
    </xf>
    <xf numFmtId="0" fontId="0"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xf>
  </cellXfs>
  <cellStyles count="18">
    <cellStyle name="Besuchter Hyperlink" xfId="5" builtinId="9" hidden="1"/>
    <cellStyle name="Besuchter Hyperlink" xfId="7" builtinId="9" hidden="1"/>
    <cellStyle name="Besuchter Hyperlink" xfId="9" builtinId="9" hidden="1"/>
    <cellStyle name="Besuchter Hyperlink" xfId="11" builtinId="9" hidden="1"/>
    <cellStyle name="Besuchter Hyperlink" xfId="13" builtinId="9" hidden="1"/>
    <cellStyle name="Besuchter Hyperlink" xfId="15" builtinId="9" hidden="1"/>
    <cellStyle name="Besuchter Hyperlink" xfId="17" builtinId="9" hidden="1"/>
    <cellStyle name="Komma" xfId="3" builtinId="3"/>
    <cellStyle name="Link" xfId="4" builtinId="8" hidden="1"/>
    <cellStyle name="Link" xfId="6" builtinId="8" hidden="1"/>
    <cellStyle name="Link" xfId="8" builtinId="8" hidden="1"/>
    <cellStyle name="Link" xfId="10" builtinId="8" hidden="1"/>
    <cellStyle name="Link" xfId="12" builtinId="8" hidden="1"/>
    <cellStyle name="Link" xfId="14" builtinId="8" hidden="1"/>
    <cellStyle name="Link" xfId="16" builtinId="8" hidden="1"/>
    <cellStyle name="Prozent" xfId="1" builtinId="5"/>
    <cellStyle name="Standard"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Top</a:t>
            </a:r>
            <a:r>
              <a:rPr lang="en-US" baseline="0"/>
              <a:t> 10%</a:t>
            </a:r>
            <a:endParaRPr lang="en-US"/>
          </a:p>
        </c:rich>
      </c:tx>
      <c:layout>
        <c:manualLayout>
          <c:xMode val="edge"/>
          <c:yMode val="edge"/>
          <c:x val="0.42958227513227498"/>
          <c:y val="4.0705128205128199E-2"/>
        </c:manualLayout>
      </c:layout>
      <c:overlay val="1"/>
    </c:title>
    <c:autoTitleDeleted val="0"/>
    <c:plotArea>
      <c:layout>
        <c:manualLayout>
          <c:layoutTarget val="inner"/>
          <c:xMode val="edge"/>
          <c:yMode val="edge"/>
          <c:x val="7.0304653193125094E-2"/>
          <c:y val="1.8915338670733299E-2"/>
          <c:w val="0.90321736184407697"/>
          <c:h val="0.86056251111958304"/>
        </c:manualLayout>
      </c:layout>
      <c:lineChart>
        <c:grouping val="standard"/>
        <c:varyColors val="0"/>
        <c:ser>
          <c:idx val="0"/>
          <c:order val="0"/>
          <c:tx>
            <c:v>annual data</c:v>
          </c:tx>
          <c:spPr>
            <a:effectLst/>
          </c:spPr>
          <c:marker>
            <c:symbol val="triangle"/>
            <c:size val="9"/>
            <c:spPr>
              <a:effectLst/>
            </c:spPr>
          </c:marker>
          <c:cat>
            <c:numRef>
              <c:f>[1]annual!$A$4:$A$22</c:f>
              <c:numCache>
                <c:formatCode>General</c:formatCode>
                <c:ptCount val="19"/>
                <c:pt idx="0">
                  <c:v>2001</c:v>
                </c:pt>
                <c:pt idx="2">
                  <c:v>2002</c:v>
                </c:pt>
                <c:pt idx="4">
                  <c:v>2003</c:v>
                </c:pt>
                <c:pt idx="6">
                  <c:v>2004</c:v>
                </c:pt>
                <c:pt idx="8">
                  <c:v>2005</c:v>
                </c:pt>
                <c:pt idx="10">
                  <c:v>2006</c:v>
                </c:pt>
                <c:pt idx="12">
                  <c:v>2007</c:v>
                </c:pt>
                <c:pt idx="14">
                  <c:v>2008</c:v>
                </c:pt>
                <c:pt idx="16">
                  <c:v>2009</c:v>
                </c:pt>
                <c:pt idx="18">
                  <c:v>2010</c:v>
                </c:pt>
              </c:numCache>
            </c:numRef>
          </c:cat>
          <c:val>
            <c:numRef>
              <c:f>[1]annual!$B$4:$B$22</c:f>
              <c:numCache>
                <c:formatCode>General</c:formatCode>
                <c:ptCount val="19"/>
                <c:pt idx="0">
                  <c:v>0.34146559999999998</c:v>
                </c:pt>
                <c:pt idx="2">
                  <c:v>0.33495720000000001</c:v>
                </c:pt>
                <c:pt idx="4">
                  <c:v>0.33271109999999998</c:v>
                </c:pt>
                <c:pt idx="6">
                  <c:v>0.33617380000000002</c:v>
                </c:pt>
                <c:pt idx="8">
                  <c:v>0.34549730000000001</c:v>
                </c:pt>
                <c:pt idx="10">
                  <c:v>0.35104920000000001</c:v>
                </c:pt>
                <c:pt idx="12">
                  <c:v>0.35982720000000001</c:v>
                </c:pt>
                <c:pt idx="14">
                  <c:v>0.36105510000000002</c:v>
                </c:pt>
                <c:pt idx="16">
                  <c:v>0.35113359999999999</c:v>
                </c:pt>
                <c:pt idx="18">
                  <c:v>0.35670610000000003</c:v>
                </c:pt>
              </c:numCache>
            </c:numRef>
          </c:val>
          <c:smooth val="0"/>
        </c:ser>
        <c:ser>
          <c:idx val="1"/>
          <c:order val="1"/>
          <c:tx>
            <c:v>biennial data</c:v>
          </c:tx>
          <c:spPr>
            <a:effectLst/>
          </c:spPr>
          <c:marker>
            <c:spPr>
              <a:effectLst/>
            </c:spPr>
          </c:marker>
          <c:cat>
            <c:numRef>
              <c:f>[1]annual!$A$4:$A$22</c:f>
              <c:numCache>
                <c:formatCode>General</c:formatCode>
                <c:ptCount val="19"/>
                <c:pt idx="0">
                  <c:v>2001</c:v>
                </c:pt>
                <c:pt idx="2">
                  <c:v>2002</c:v>
                </c:pt>
                <c:pt idx="4">
                  <c:v>2003</c:v>
                </c:pt>
                <c:pt idx="6">
                  <c:v>2004</c:v>
                </c:pt>
                <c:pt idx="8">
                  <c:v>2005</c:v>
                </c:pt>
                <c:pt idx="10">
                  <c:v>2006</c:v>
                </c:pt>
                <c:pt idx="12">
                  <c:v>2007</c:v>
                </c:pt>
                <c:pt idx="14">
                  <c:v>2008</c:v>
                </c:pt>
                <c:pt idx="16">
                  <c:v>2009</c:v>
                </c:pt>
                <c:pt idx="18">
                  <c:v>2010</c:v>
                </c:pt>
              </c:numCache>
            </c:numRef>
          </c:cat>
          <c:val>
            <c:numRef>
              <c:f>[1]biennial!$B$4:$B$22</c:f>
              <c:numCache>
                <c:formatCode>General</c:formatCode>
                <c:ptCount val="19"/>
                <c:pt idx="1">
                  <c:v>0.33311239999999998</c:v>
                </c:pt>
                <c:pt idx="5">
                  <c:v>0.32955050000000002</c:v>
                </c:pt>
                <c:pt idx="9">
                  <c:v>0.34344960000000002</c:v>
                </c:pt>
                <c:pt idx="13">
                  <c:v>0.35529870000000002</c:v>
                </c:pt>
                <c:pt idx="17">
                  <c:v>0.34858319999999998</c:v>
                </c:pt>
              </c:numCache>
            </c:numRef>
          </c:val>
          <c:smooth val="0"/>
        </c:ser>
        <c:dLbls>
          <c:showLegendKey val="0"/>
          <c:showVal val="0"/>
          <c:showCatName val="0"/>
          <c:showSerName val="0"/>
          <c:showPercent val="0"/>
          <c:showBubbleSize val="0"/>
        </c:dLbls>
        <c:marker val="1"/>
        <c:smooth val="0"/>
        <c:axId val="233295016"/>
        <c:axId val="413653776"/>
      </c:lineChart>
      <c:catAx>
        <c:axId val="233295016"/>
        <c:scaling>
          <c:orientation val="minMax"/>
        </c:scaling>
        <c:delete val="0"/>
        <c:axPos val="b"/>
        <c:numFmt formatCode="General" sourceLinked="1"/>
        <c:majorTickMark val="none"/>
        <c:minorTickMark val="cross"/>
        <c:tickLblPos val="nextTo"/>
        <c:txPr>
          <a:bodyPr rot="-2700000" vert="horz" anchor="ctr" anchorCtr="1"/>
          <a:lstStyle/>
          <a:p>
            <a:pPr>
              <a:defRPr sz="1200"/>
            </a:pPr>
            <a:endParaRPr lang="de-DE"/>
          </a:p>
        </c:txPr>
        <c:crossAx val="413653776"/>
        <c:crosses val="autoZero"/>
        <c:auto val="1"/>
        <c:lblAlgn val="ctr"/>
        <c:lblOffset val="100"/>
        <c:noMultiLvlLbl val="0"/>
      </c:catAx>
      <c:valAx>
        <c:axId val="413653776"/>
        <c:scaling>
          <c:orientation val="minMax"/>
        </c:scaling>
        <c:delete val="0"/>
        <c:axPos val="l"/>
        <c:majorGridlines/>
        <c:numFmt formatCode="0.0%" sourceLinked="0"/>
        <c:majorTickMark val="out"/>
        <c:minorTickMark val="none"/>
        <c:tickLblPos val="nextTo"/>
        <c:txPr>
          <a:bodyPr/>
          <a:lstStyle/>
          <a:p>
            <a:pPr>
              <a:defRPr sz="1200"/>
            </a:pPr>
            <a:endParaRPr lang="de-DE"/>
          </a:p>
        </c:txPr>
        <c:crossAx val="233295016"/>
        <c:crosses val="autoZero"/>
        <c:crossBetween val="between"/>
      </c:valAx>
    </c:plotArea>
    <c:legend>
      <c:legendPos val="r"/>
      <c:layout>
        <c:manualLayout>
          <c:xMode val="edge"/>
          <c:yMode val="edge"/>
          <c:x val="0.791693121693122"/>
          <c:y val="0.72659594017093998"/>
          <c:w val="0.16126984126984101"/>
          <c:h val="0.122107264957265"/>
        </c:manualLayout>
      </c:layout>
      <c:overlay val="1"/>
      <c:spPr>
        <a:solidFill>
          <a:schemeClr val="bg1"/>
        </a:solidFill>
        <a:ln w="6350">
          <a:solidFill>
            <a:schemeClr val="bg1">
              <a:lumMod val="50000"/>
            </a:schemeClr>
          </a:solidFill>
        </a:ln>
      </c:spPr>
      <c:txPr>
        <a:bodyPr/>
        <a:lstStyle/>
        <a:p>
          <a:pPr>
            <a:defRPr sz="1200"/>
          </a:pPr>
          <a:endParaRPr lang="de-DE"/>
        </a:p>
      </c:txPr>
    </c:legend>
    <c:plotVisOnly val="1"/>
    <c:dispBlanksAs val="span"/>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219075</xdr:colOff>
      <xdr:row>25</xdr:row>
      <xdr:rowOff>171450</xdr:rowOff>
    </xdr:from>
    <xdr:to>
      <xdr:col>11</xdr:col>
      <xdr:colOff>381000</xdr:colOff>
      <xdr:row>54</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0</xdr:col>
      <xdr:colOff>9525</xdr:colOff>
      <xdr:row>32</xdr:row>
      <xdr:rowOff>9525</xdr:rowOff>
    </xdr:to>
    <xdr:pic>
      <xdr:nvPicPr>
        <xdr:cNvPr id="2" name="Grafik 1" descr="http://topincomes.parisschoolofeconomics.eu/TopIncomes/sc/skins/Enterprise/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1512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 name="Grafik 2" descr="http://topincomes.parisschoolofeconomics.eu/TopIncomes/sc/skins/Enterprise/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4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22</xdr:row>
      <xdr:rowOff>0</xdr:rowOff>
    </xdr:from>
    <xdr:to>
      <xdr:col>8</xdr:col>
      <xdr:colOff>9525</xdr:colOff>
      <xdr:row>22</xdr:row>
      <xdr:rowOff>9525</xdr:rowOff>
    </xdr:to>
    <xdr:pic>
      <xdr:nvPicPr>
        <xdr:cNvPr id="4" name="Grafik 3" descr="http://topincomes.parisschoolofeconomics.eu/TopIncomes/sc/skins/Enterprise/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45243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23</xdr:row>
      <xdr:rowOff>0</xdr:rowOff>
    </xdr:from>
    <xdr:to>
      <xdr:col>8</xdr:col>
      <xdr:colOff>9525</xdr:colOff>
      <xdr:row>23</xdr:row>
      <xdr:rowOff>9525</xdr:rowOff>
    </xdr:to>
    <xdr:pic>
      <xdr:nvPicPr>
        <xdr:cNvPr id="5" name="Grafik 4" descr="http://topincomes.parisschoolofeconomics.eu/TopIncomes/sc/skins/Enterprise/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47529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abel/Downloads/Zweijahresbemessung_Vergleic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nnial"/>
      <sheetName val="annual"/>
      <sheetName val="gr_top10"/>
      <sheetName val="gr_top5"/>
      <sheetName val="gr_top1"/>
      <sheetName val="gr_top05"/>
      <sheetName val="gr_top01"/>
      <sheetName val="gr_top001"/>
      <sheetName val="Differences"/>
    </sheetNames>
    <sheetDataSet>
      <sheetData sheetId="0">
        <row r="5">
          <cell r="B5">
            <v>0.33311239999999998</v>
          </cell>
        </row>
        <row r="9">
          <cell r="B9">
            <v>0.32955050000000002</v>
          </cell>
        </row>
        <row r="13">
          <cell r="B13">
            <v>0.34344960000000002</v>
          </cell>
        </row>
        <row r="17">
          <cell r="B17">
            <v>0.35529870000000002</v>
          </cell>
        </row>
        <row r="21">
          <cell r="B21">
            <v>0.34858319999999998</v>
          </cell>
        </row>
      </sheetData>
      <sheetData sheetId="1">
        <row r="4">
          <cell r="A4">
            <v>2001</v>
          </cell>
          <cell r="B4">
            <v>0.34146559999999998</v>
          </cell>
        </row>
        <row r="6">
          <cell r="A6">
            <v>2002</v>
          </cell>
          <cell r="B6">
            <v>0.33495720000000001</v>
          </cell>
        </row>
        <row r="8">
          <cell r="A8">
            <v>2003</v>
          </cell>
          <cell r="B8">
            <v>0.33271109999999998</v>
          </cell>
        </row>
        <row r="10">
          <cell r="A10">
            <v>2004</v>
          </cell>
          <cell r="B10">
            <v>0.33617380000000002</v>
          </cell>
        </row>
        <row r="12">
          <cell r="A12">
            <v>2005</v>
          </cell>
          <cell r="B12">
            <v>0.34549730000000001</v>
          </cell>
        </row>
        <row r="14">
          <cell r="A14">
            <v>2006</v>
          </cell>
          <cell r="B14">
            <v>0.35104920000000001</v>
          </cell>
        </row>
        <row r="16">
          <cell r="A16">
            <v>2007</v>
          </cell>
          <cell r="B16">
            <v>0.35982720000000001</v>
          </cell>
        </row>
        <row r="18">
          <cell r="A18">
            <v>2008</v>
          </cell>
          <cell r="B18">
            <v>0.36105510000000002</v>
          </cell>
        </row>
        <row r="20">
          <cell r="A20">
            <v>2009</v>
          </cell>
          <cell r="B20">
            <v>0.35113359999999999</v>
          </cell>
        </row>
        <row r="22">
          <cell r="A22">
            <v>2010</v>
          </cell>
          <cell r="B22">
            <v>0.35670610000000003</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4" sqref="B14"/>
    </sheetView>
  </sheetViews>
  <sheetFormatPr baseColWidth="10" defaultRowHeight="15" x14ac:dyDescent="0.25"/>
  <sheetData>
    <row r="1" spans="1:2" x14ac:dyDescent="0.25">
      <c r="A1" s="12" t="s">
        <v>102</v>
      </c>
    </row>
    <row r="2" spans="1:2" x14ac:dyDescent="0.25">
      <c r="A2" s="12" t="s">
        <v>18</v>
      </c>
    </row>
    <row r="3" spans="1:2" x14ac:dyDescent="0.25">
      <c r="A3" t="s">
        <v>111</v>
      </c>
      <c r="B3" t="s">
        <v>112</v>
      </c>
    </row>
    <row r="4" spans="1:2" x14ac:dyDescent="0.25">
      <c r="A4" t="s">
        <v>110</v>
      </c>
      <c r="B4" t="s">
        <v>101</v>
      </c>
    </row>
    <row r="5" spans="1:2" x14ac:dyDescent="0.25">
      <c r="A5" t="s">
        <v>114</v>
      </c>
      <c r="B5" t="s">
        <v>113</v>
      </c>
    </row>
    <row r="6" spans="1:2" x14ac:dyDescent="0.25">
      <c r="A6" t="s">
        <v>115</v>
      </c>
      <c r="B6" t="s">
        <v>108</v>
      </c>
    </row>
    <row r="7" spans="1:2" x14ac:dyDescent="0.25">
      <c r="A7" t="s">
        <v>116</v>
      </c>
      <c r="B7" t="s">
        <v>109</v>
      </c>
    </row>
    <row r="8" spans="1:2" x14ac:dyDescent="0.25">
      <c r="A8" t="s">
        <v>117</v>
      </c>
      <c r="B8" t="s">
        <v>106</v>
      </c>
    </row>
    <row r="9" spans="1:2" x14ac:dyDescent="0.25">
      <c r="A9" t="s">
        <v>118</v>
      </c>
      <c r="B9" t="s">
        <v>107</v>
      </c>
    </row>
    <row r="10" spans="1:2" x14ac:dyDescent="0.25">
      <c r="A10" t="s">
        <v>119</v>
      </c>
      <c r="B10" t="s">
        <v>103</v>
      </c>
    </row>
    <row r="11" spans="1:2" x14ac:dyDescent="0.25">
      <c r="A11" t="s">
        <v>120</v>
      </c>
      <c r="B11" t="s">
        <v>104</v>
      </c>
    </row>
    <row r="12" spans="1:2" x14ac:dyDescent="0.25">
      <c r="A12" t="s">
        <v>121</v>
      </c>
      <c r="B12" t="s">
        <v>105</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heetViews>
  <sheetFormatPr baseColWidth="10" defaultRowHeight="15" x14ac:dyDescent="0.25"/>
  <cols>
    <col min="2" max="13" width="9.85546875" customWidth="1"/>
  </cols>
  <sheetData>
    <row r="1" spans="1:13" x14ac:dyDescent="0.25">
      <c r="A1" s="12" t="s">
        <v>122</v>
      </c>
    </row>
    <row r="2" spans="1:13" x14ac:dyDescent="0.25">
      <c r="B2" s="56" t="s">
        <v>70</v>
      </c>
      <c r="C2" s="56"/>
      <c r="D2" s="56"/>
      <c r="E2" s="56"/>
      <c r="F2" s="56"/>
      <c r="G2" s="56"/>
      <c r="H2" s="56" t="s">
        <v>71</v>
      </c>
      <c r="I2" s="56"/>
      <c r="J2" s="56"/>
      <c r="K2" s="56"/>
      <c r="L2" s="56"/>
      <c r="M2" s="56"/>
    </row>
    <row r="3" spans="1:13" x14ac:dyDescent="0.25">
      <c r="B3" s="26" t="s">
        <v>58</v>
      </c>
      <c r="C3" s="26" t="s">
        <v>59</v>
      </c>
      <c r="D3" s="26" t="s">
        <v>2</v>
      </c>
      <c r="E3" s="26" t="s">
        <v>60</v>
      </c>
      <c r="F3" s="26" t="s">
        <v>61</v>
      </c>
      <c r="G3" s="26" t="s">
        <v>62</v>
      </c>
      <c r="H3" s="26" t="s">
        <v>58</v>
      </c>
      <c r="I3" s="26" t="s">
        <v>59</v>
      </c>
      <c r="J3" s="26" t="s">
        <v>2</v>
      </c>
      <c r="K3" s="26" t="s">
        <v>60</v>
      </c>
      <c r="L3" s="26" t="s">
        <v>61</v>
      </c>
      <c r="M3" s="26" t="s">
        <v>62</v>
      </c>
    </row>
    <row r="4" spans="1:13" x14ac:dyDescent="0.25">
      <c r="A4" t="s">
        <v>63</v>
      </c>
      <c r="B4" t="s">
        <v>64</v>
      </c>
      <c r="C4" t="s">
        <v>65</v>
      </c>
      <c r="D4" t="s">
        <v>66</v>
      </c>
      <c r="E4" t="s">
        <v>67</v>
      </c>
      <c r="F4" t="s">
        <v>68</v>
      </c>
      <c r="G4" t="s">
        <v>69</v>
      </c>
      <c r="H4" t="s">
        <v>64</v>
      </c>
      <c r="I4" t="s">
        <v>65</v>
      </c>
      <c r="J4" t="s">
        <v>66</v>
      </c>
      <c r="K4" t="s">
        <v>67</v>
      </c>
      <c r="L4" t="s">
        <v>68</v>
      </c>
      <c r="M4" t="s">
        <v>69</v>
      </c>
    </row>
    <row r="5" spans="1:13" x14ac:dyDescent="0.25">
      <c r="A5">
        <v>2001</v>
      </c>
      <c r="B5" s="10"/>
      <c r="C5" s="10"/>
      <c r="D5" s="10"/>
      <c r="E5" s="10"/>
      <c r="F5" s="10"/>
      <c r="G5" s="10"/>
      <c r="H5" s="10">
        <v>0.34146559999999998</v>
      </c>
      <c r="I5" s="10">
        <v>0.2386655</v>
      </c>
      <c r="J5" s="10">
        <v>0.1099755</v>
      </c>
      <c r="K5" s="10">
        <v>7.9836799999999999E-2</v>
      </c>
      <c r="L5" s="10">
        <v>3.8104399999999997E-2</v>
      </c>
      <c r="M5" s="10">
        <v>1.2934599999999999E-2</v>
      </c>
    </row>
    <row r="6" spans="1:13" x14ac:dyDescent="0.25">
      <c r="B6" s="10">
        <v>0.33311239999999998</v>
      </c>
      <c r="C6" s="10">
        <v>0.23085800000000001</v>
      </c>
      <c r="D6" s="10">
        <v>0.10429620000000001</v>
      </c>
      <c r="E6" s="10">
        <v>7.5131699999999996E-2</v>
      </c>
      <c r="F6" s="10">
        <v>3.5289800000000003E-2</v>
      </c>
      <c r="G6" s="10">
        <v>1.2195599999999999E-2</v>
      </c>
      <c r="H6" s="10"/>
      <c r="I6" s="10"/>
      <c r="J6" s="10"/>
      <c r="K6" s="10"/>
      <c r="L6" s="10"/>
      <c r="M6" s="10"/>
    </row>
    <row r="7" spans="1:13" x14ac:dyDescent="0.25">
      <c r="A7">
        <v>2002</v>
      </c>
      <c r="B7" s="10"/>
      <c r="C7" s="10"/>
      <c r="D7" s="10"/>
      <c r="E7" s="10"/>
      <c r="F7" s="10"/>
      <c r="G7" s="10"/>
      <c r="H7" s="10">
        <v>0.33495720000000001</v>
      </c>
      <c r="I7" s="10">
        <v>0.23154069999999999</v>
      </c>
      <c r="J7" s="10">
        <v>0.10414900000000001</v>
      </c>
      <c r="K7" s="10">
        <v>7.4924400000000002E-2</v>
      </c>
      <c r="L7" s="10">
        <v>3.53551E-2</v>
      </c>
      <c r="M7" s="10">
        <v>1.24888E-2</v>
      </c>
    </row>
    <row r="8" spans="1:13" x14ac:dyDescent="0.25">
      <c r="B8" s="10"/>
      <c r="C8" s="10"/>
      <c r="D8" s="10"/>
      <c r="E8" s="10"/>
      <c r="F8" s="10"/>
      <c r="G8" s="10"/>
      <c r="H8" s="10"/>
      <c r="I8" s="10"/>
      <c r="J8" s="10"/>
      <c r="K8" s="10"/>
      <c r="L8" s="10"/>
      <c r="M8" s="10"/>
    </row>
    <row r="9" spans="1:13" x14ac:dyDescent="0.25">
      <c r="A9">
        <v>2003</v>
      </c>
      <c r="B9" s="10"/>
      <c r="C9" s="10"/>
      <c r="D9" s="10"/>
      <c r="E9" s="10"/>
      <c r="F9" s="10"/>
      <c r="G9" s="10"/>
      <c r="H9" s="10">
        <v>0.33271109999999998</v>
      </c>
      <c r="I9" s="10">
        <v>0.2291666</v>
      </c>
      <c r="J9" s="10">
        <v>0.1025597</v>
      </c>
      <c r="K9" s="10">
        <v>7.3955199999999999E-2</v>
      </c>
      <c r="L9" s="10">
        <v>3.5568500000000003E-2</v>
      </c>
      <c r="M9" s="10">
        <v>1.33256E-2</v>
      </c>
    </row>
    <row r="10" spans="1:13" x14ac:dyDescent="0.25">
      <c r="B10" s="10">
        <v>0.32955050000000002</v>
      </c>
      <c r="C10" s="10">
        <v>0.2263635</v>
      </c>
      <c r="D10" s="10">
        <v>9.9966799999999995E-2</v>
      </c>
      <c r="E10" s="10">
        <v>7.1543700000000002E-2</v>
      </c>
      <c r="F10" s="10">
        <v>3.3382099999999998E-2</v>
      </c>
      <c r="G10" s="10">
        <v>1.1831100000000001E-2</v>
      </c>
      <c r="H10" s="10"/>
      <c r="I10" s="10"/>
      <c r="J10" s="10"/>
      <c r="K10" s="10"/>
      <c r="L10" s="10"/>
      <c r="M10" s="10"/>
    </row>
    <row r="11" spans="1:13" x14ac:dyDescent="0.25">
      <c r="A11">
        <v>2004</v>
      </c>
      <c r="B11" s="10"/>
      <c r="C11" s="10"/>
      <c r="D11" s="10"/>
      <c r="E11" s="10"/>
      <c r="F11" s="10"/>
      <c r="G11" s="10"/>
      <c r="H11" s="10">
        <v>0.33617380000000002</v>
      </c>
      <c r="I11" s="10">
        <v>0.23156640000000001</v>
      </c>
      <c r="J11" s="10">
        <v>0.1025522</v>
      </c>
      <c r="K11" s="10">
        <v>7.3248199999999999E-2</v>
      </c>
      <c r="L11" s="10">
        <v>3.36768E-2</v>
      </c>
      <c r="M11" s="10">
        <v>1.1687599999999999E-2</v>
      </c>
    </row>
    <row r="12" spans="1:13" x14ac:dyDescent="0.25">
      <c r="B12" s="10"/>
      <c r="C12" s="10"/>
      <c r="D12" s="10"/>
      <c r="E12" s="10"/>
      <c r="F12" s="10"/>
      <c r="G12" s="10"/>
      <c r="H12" s="10"/>
      <c r="I12" s="10"/>
      <c r="J12" s="10"/>
      <c r="K12" s="10"/>
      <c r="L12" s="10"/>
      <c r="M12" s="10"/>
    </row>
    <row r="13" spans="1:13" x14ac:dyDescent="0.25">
      <c r="A13">
        <v>2005</v>
      </c>
      <c r="B13" s="10"/>
      <c r="C13" s="10"/>
      <c r="D13" s="10"/>
      <c r="E13" s="10"/>
      <c r="F13" s="10"/>
      <c r="G13" s="10"/>
      <c r="H13" s="10">
        <v>0.34549730000000001</v>
      </c>
      <c r="I13" s="10">
        <v>0.24074609999999999</v>
      </c>
      <c r="J13" s="10">
        <v>0.11075459999999999</v>
      </c>
      <c r="K13" s="10">
        <v>8.0852999999999994E-2</v>
      </c>
      <c r="L13" s="10">
        <v>4.01269E-2</v>
      </c>
      <c r="M13" s="10">
        <v>1.55424E-2</v>
      </c>
    </row>
    <row r="14" spans="1:13" x14ac:dyDescent="0.25">
      <c r="B14" s="10">
        <v>0.34344960000000002</v>
      </c>
      <c r="C14" s="10">
        <v>0.2393826</v>
      </c>
      <c r="D14" s="10">
        <v>0.1098498</v>
      </c>
      <c r="E14" s="10">
        <v>7.9953099999999999E-2</v>
      </c>
      <c r="F14" s="10">
        <v>3.9081999999999999E-2</v>
      </c>
      <c r="G14" s="10">
        <v>1.48101E-2</v>
      </c>
      <c r="H14" s="10"/>
      <c r="I14" s="10"/>
      <c r="J14" s="10"/>
      <c r="K14" s="10"/>
      <c r="L14" s="10"/>
      <c r="M14" s="10"/>
    </row>
    <row r="15" spans="1:13" x14ac:dyDescent="0.25">
      <c r="A15">
        <v>2006</v>
      </c>
      <c r="B15" s="10"/>
      <c r="C15" s="10"/>
      <c r="D15" s="10"/>
      <c r="E15" s="10"/>
      <c r="F15" s="10"/>
      <c r="G15" s="10"/>
      <c r="H15" s="10">
        <v>0.35104920000000001</v>
      </c>
      <c r="I15" s="10">
        <v>0.2460726</v>
      </c>
      <c r="J15" s="10">
        <v>0.1145418</v>
      </c>
      <c r="K15" s="10">
        <v>8.3476800000000004E-2</v>
      </c>
      <c r="L15" s="10">
        <v>4.1063299999999997E-2</v>
      </c>
      <c r="M15" s="10">
        <v>1.5761799999999999E-2</v>
      </c>
    </row>
    <row r="16" spans="1:13" x14ac:dyDescent="0.25">
      <c r="B16" s="10"/>
      <c r="C16" s="10"/>
      <c r="D16" s="10"/>
      <c r="E16" s="10"/>
      <c r="F16" s="10"/>
      <c r="G16" s="10"/>
      <c r="H16" s="10"/>
      <c r="I16" s="10"/>
      <c r="J16" s="10"/>
      <c r="K16" s="10"/>
      <c r="L16" s="10"/>
      <c r="M16" s="10"/>
    </row>
    <row r="17" spans="1:13" x14ac:dyDescent="0.25">
      <c r="A17">
        <v>2007</v>
      </c>
      <c r="B17" s="10"/>
      <c r="C17" s="10"/>
      <c r="D17" s="10"/>
      <c r="E17" s="10"/>
      <c r="F17" s="10"/>
      <c r="G17" s="10"/>
      <c r="H17" s="10">
        <v>0.35982720000000001</v>
      </c>
      <c r="I17" s="10">
        <v>0.25434250000000003</v>
      </c>
      <c r="J17" s="10">
        <v>0.1199257</v>
      </c>
      <c r="K17" s="10">
        <v>8.7547299999999995E-2</v>
      </c>
      <c r="L17" s="10">
        <v>4.2910799999999999E-2</v>
      </c>
      <c r="M17" s="10">
        <v>1.6309400000000002E-2</v>
      </c>
    </row>
    <row r="18" spans="1:13" x14ac:dyDescent="0.25">
      <c r="B18" s="10">
        <v>0.35529870000000002</v>
      </c>
      <c r="C18" s="10">
        <v>0.2499807</v>
      </c>
      <c r="D18" s="10">
        <v>0.1157589</v>
      </c>
      <c r="E18" s="10">
        <v>8.3912399999999998E-2</v>
      </c>
      <c r="F18" s="10">
        <v>4.0469900000000003E-2</v>
      </c>
      <c r="G18" s="10">
        <v>1.54313E-2</v>
      </c>
      <c r="H18" s="10"/>
      <c r="I18" s="10"/>
      <c r="J18" s="10"/>
      <c r="K18" s="10"/>
      <c r="L18" s="10"/>
      <c r="M18" s="10"/>
    </row>
    <row r="19" spans="1:13" x14ac:dyDescent="0.25">
      <c r="A19">
        <v>2008</v>
      </c>
      <c r="B19" s="10"/>
      <c r="C19" s="10"/>
      <c r="D19" s="10"/>
      <c r="E19" s="10"/>
      <c r="F19" s="10"/>
      <c r="G19" s="10"/>
      <c r="H19" s="10">
        <v>0.36105510000000002</v>
      </c>
      <c r="I19" s="10">
        <v>0.25459730000000003</v>
      </c>
      <c r="J19" s="10">
        <v>0.1180512</v>
      </c>
      <c r="K19" s="10">
        <v>8.5560200000000003E-2</v>
      </c>
      <c r="L19" s="10">
        <v>4.0679E-2</v>
      </c>
      <c r="M19" s="10">
        <v>1.5639799999999999E-2</v>
      </c>
    </row>
    <row r="20" spans="1:13" x14ac:dyDescent="0.25">
      <c r="B20" s="10"/>
      <c r="C20" s="10"/>
      <c r="D20" s="10"/>
      <c r="E20" s="10"/>
      <c r="F20" s="10"/>
      <c r="G20" s="10"/>
      <c r="H20" s="10"/>
      <c r="I20" s="10"/>
      <c r="J20" s="10"/>
      <c r="K20" s="10"/>
      <c r="L20" s="10"/>
      <c r="M20" s="10"/>
    </row>
    <row r="21" spans="1:13" x14ac:dyDescent="0.25">
      <c r="A21">
        <v>2009</v>
      </c>
      <c r="B21" s="10"/>
      <c r="C21" s="10"/>
      <c r="D21" s="10"/>
      <c r="E21" s="10"/>
      <c r="F21" s="10"/>
      <c r="G21" s="10"/>
      <c r="H21" s="10">
        <v>0.35113359999999999</v>
      </c>
      <c r="I21" s="10">
        <v>0.24349660000000001</v>
      </c>
      <c r="J21" s="10">
        <v>0.1086449</v>
      </c>
      <c r="K21" s="10">
        <v>7.7701699999999999E-2</v>
      </c>
      <c r="L21" s="10">
        <v>3.6131299999999998E-2</v>
      </c>
      <c r="M21" s="10">
        <v>1.23579E-2</v>
      </c>
    </row>
    <row r="22" spans="1:13" x14ac:dyDescent="0.25">
      <c r="B22" s="10">
        <v>0.34858319999999998</v>
      </c>
      <c r="C22" s="10">
        <v>0.24145800000000001</v>
      </c>
      <c r="D22" s="10">
        <v>0.1072852</v>
      </c>
      <c r="E22" s="10">
        <v>7.6416899999999996E-2</v>
      </c>
      <c r="F22" s="10">
        <v>3.5165299999999997E-2</v>
      </c>
      <c r="G22" s="10">
        <v>1.1761199999999999E-2</v>
      </c>
      <c r="H22" s="10"/>
      <c r="I22" s="10"/>
      <c r="J22" s="10"/>
      <c r="K22" s="10"/>
      <c r="L22" s="10"/>
      <c r="M22" s="10"/>
    </row>
    <row r="23" spans="1:13" x14ac:dyDescent="0.25">
      <c r="A23">
        <v>2010</v>
      </c>
      <c r="B23" s="10"/>
      <c r="C23" s="10"/>
      <c r="D23" s="10"/>
      <c r="E23" s="10"/>
      <c r="F23" s="10"/>
      <c r="G23" s="10"/>
      <c r="H23" s="10">
        <v>0.35670610000000003</v>
      </c>
      <c r="I23" s="10">
        <v>0.2485454</v>
      </c>
      <c r="J23" s="10">
        <v>0.1120091</v>
      </c>
      <c r="K23" s="10">
        <v>8.0305399999999999E-2</v>
      </c>
      <c r="L23" s="10">
        <v>3.7372000000000002E-2</v>
      </c>
      <c r="M23" s="10">
        <v>1.26543E-2</v>
      </c>
    </row>
    <row r="25" spans="1:13" x14ac:dyDescent="0.25">
      <c r="A25" t="s">
        <v>72</v>
      </c>
    </row>
  </sheetData>
  <mergeCells count="2">
    <mergeCell ref="B2:G2"/>
    <mergeCell ref="H2:M2"/>
  </mergeCells>
  <pageMargins left="0.7" right="0.7" top="0.78740157499999996" bottom="0.78740157499999996" header="0.3" footer="0.3"/>
  <pageSetup paperSize="9"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
  <sheetViews>
    <sheetView workbookViewId="0">
      <selection activeCell="H31" sqref="H31"/>
    </sheetView>
  </sheetViews>
  <sheetFormatPr baseColWidth="10" defaultRowHeight="15" x14ac:dyDescent="0.25"/>
  <cols>
    <col min="3" max="7" width="10.140625" customWidth="1"/>
    <col min="8" max="8" width="17.7109375" customWidth="1"/>
    <col min="11" max="11" width="22.28515625" customWidth="1"/>
    <col min="12" max="12" width="10.85546875" customWidth="1"/>
    <col min="15" max="16" width="10.85546875" style="25"/>
  </cols>
  <sheetData>
    <row r="1" spans="1:26" x14ac:dyDescent="0.25">
      <c r="A1" s="22" t="s">
        <v>123</v>
      </c>
      <c r="O1" s="23"/>
      <c r="P1" s="23"/>
      <c r="R1" s="16"/>
      <c r="Z1" s="14"/>
    </row>
    <row r="2" spans="1:26" x14ac:dyDescent="0.25">
      <c r="A2" t="s">
        <v>37</v>
      </c>
      <c r="O2" s="23"/>
      <c r="P2" s="23"/>
      <c r="Z2" s="14"/>
    </row>
    <row r="3" spans="1:26" x14ac:dyDescent="0.25">
      <c r="A3" s="13" t="s">
        <v>41</v>
      </c>
      <c r="B3" s="13"/>
      <c r="O3" s="23"/>
      <c r="P3" s="23"/>
      <c r="Z3" s="14"/>
    </row>
    <row r="4" spans="1:26" x14ac:dyDescent="0.25">
      <c r="A4" s="13"/>
      <c r="B4" s="13"/>
      <c r="M4" t="s">
        <v>36</v>
      </c>
      <c r="O4" t="s">
        <v>40</v>
      </c>
      <c r="P4"/>
    </row>
    <row r="5" spans="1:26" x14ac:dyDescent="0.25">
      <c r="O5"/>
      <c r="P5" t="s">
        <v>73</v>
      </c>
    </row>
    <row r="6" spans="1:26" x14ac:dyDescent="0.25">
      <c r="B6" s="57" t="s">
        <v>26</v>
      </c>
      <c r="C6" s="57"/>
      <c r="D6" s="57"/>
      <c r="E6" s="57"/>
      <c r="F6" s="57"/>
      <c r="G6" s="57"/>
      <c r="H6" s="57"/>
      <c r="I6" s="13" t="s">
        <v>42</v>
      </c>
      <c r="J6" s="13" t="s">
        <v>19</v>
      </c>
      <c r="K6" t="s">
        <v>38</v>
      </c>
      <c r="L6" t="s">
        <v>34</v>
      </c>
      <c r="N6" t="s">
        <v>39</v>
      </c>
      <c r="O6" s="23"/>
      <c r="P6" s="23"/>
    </row>
    <row r="7" spans="1:26" x14ac:dyDescent="0.25">
      <c r="B7" s="13" t="s">
        <v>23</v>
      </c>
      <c r="C7" s="13" t="s">
        <v>27</v>
      </c>
      <c r="D7" s="13" t="s">
        <v>28</v>
      </c>
      <c r="E7" s="13" t="s">
        <v>29</v>
      </c>
      <c r="F7" s="13" t="s">
        <v>30</v>
      </c>
      <c r="G7" s="13" t="s">
        <v>31</v>
      </c>
      <c r="H7" s="13" t="s">
        <v>32</v>
      </c>
      <c r="K7" t="s">
        <v>33</v>
      </c>
      <c r="N7" t="s">
        <v>33</v>
      </c>
      <c r="O7" s="23"/>
      <c r="P7" s="23"/>
      <c r="Q7" t="s">
        <v>57</v>
      </c>
    </row>
    <row r="8" spans="1:26" x14ac:dyDescent="0.25">
      <c r="O8" s="23"/>
      <c r="P8" s="23"/>
    </row>
    <row r="9" spans="1:26" x14ac:dyDescent="0.25">
      <c r="A9" s="19">
        <v>36525</v>
      </c>
      <c r="B9" s="18">
        <v>1557540</v>
      </c>
      <c r="C9" s="18">
        <v>394671</v>
      </c>
      <c r="D9" s="18">
        <v>165929</v>
      </c>
      <c r="E9" s="18">
        <v>285741</v>
      </c>
      <c r="F9" s="18">
        <v>119486</v>
      </c>
      <c r="G9" s="18" t="s">
        <v>24</v>
      </c>
      <c r="H9" s="20">
        <v>591713</v>
      </c>
      <c r="I9" s="18" t="s">
        <v>24</v>
      </c>
      <c r="J9" s="18" t="s">
        <v>24</v>
      </c>
      <c r="K9" s="17"/>
      <c r="L9" s="20">
        <v>466937</v>
      </c>
      <c r="O9" s="23"/>
      <c r="P9" s="23"/>
    </row>
    <row r="10" spans="1:26" x14ac:dyDescent="0.25">
      <c r="A10" s="19">
        <v>36891</v>
      </c>
      <c r="B10" s="18">
        <v>1600823</v>
      </c>
      <c r="C10" s="18">
        <v>384499</v>
      </c>
      <c r="D10" s="18">
        <v>161618</v>
      </c>
      <c r="E10" s="18">
        <v>297541</v>
      </c>
      <c r="F10" s="18">
        <v>139683</v>
      </c>
      <c r="G10" s="18" t="s">
        <v>24</v>
      </c>
      <c r="H10" s="20">
        <v>617482</v>
      </c>
      <c r="I10" s="18">
        <v>958975</v>
      </c>
      <c r="J10" s="20">
        <v>2559798</v>
      </c>
      <c r="K10" s="17">
        <f t="shared" ref="K10:K23" si="0">SUM(C10:G10)+0.8*I10</f>
        <v>1750521</v>
      </c>
      <c r="L10" s="20">
        <v>479401</v>
      </c>
      <c r="M10" s="15">
        <f t="shared" ref="M10:M23" si="1">J10-L10</f>
        <v>2080397</v>
      </c>
      <c r="N10" s="15">
        <f t="shared" ref="N10:N23" si="2">K10-L10</f>
        <v>1271120</v>
      </c>
      <c r="O10" s="23"/>
      <c r="P10"/>
      <c r="Q10" s="21">
        <f>'F.3 Offshore and Onshore Wealth'!B6/M10</f>
        <v>0.3515093268256011</v>
      </c>
    </row>
    <row r="11" spans="1:26" x14ac:dyDescent="0.25">
      <c r="A11" s="19">
        <v>37256</v>
      </c>
      <c r="B11" s="18">
        <v>1564458</v>
      </c>
      <c r="C11" s="18">
        <v>390183</v>
      </c>
      <c r="D11" s="18">
        <v>158656</v>
      </c>
      <c r="E11" s="18">
        <v>239342</v>
      </c>
      <c r="F11" s="18">
        <v>138196</v>
      </c>
      <c r="G11" s="18" t="s">
        <v>24</v>
      </c>
      <c r="H11" s="20">
        <v>638081</v>
      </c>
      <c r="I11" s="18">
        <v>951218</v>
      </c>
      <c r="J11" s="20">
        <v>2515676</v>
      </c>
      <c r="K11" s="17">
        <f t="shared" si="0"/>
        <v>1687351.4</v>
      </c>
      <c r="L11" s="20">
        <v>491989</v>
      </c>
      <c r="M11" s="15">
        <f t="shared" si="1"/>
        <v>2023687</v>
      </c>
      <c r="N11" s="15">
        <f t="shared" si="2"/>
        <v>1195362.3999999999</v>
      </c>
      <c r="O11" s="23"/>
      <c r="P11" s="23"/>
      <c r="Q11" s="21">
        <f>'F.3 Offshore and Onshore Wealth'!B7/M11</f>
        <v>0.34299745316345864</v>
      </c>
    </row>
    <row r="12" spans="1:26" x14ac:dyDescent="0.25">
      <c r="A12" s="19">
        <v>37621</v>
      </c>
      <c r="B12" s="18">
        <v>1511691</v>
      </c>
      <c r="C12" s="18">
        <v>401823</v>
      </c>
      <c r="D12" s="18">
        <v>154922</v>
      </c>
      <c r="E12" s="18">
        <v>173912</v>
      </c>
      <c r="F12" s="18">
        <v>122116</v>
      </c>
      <c r="G12" s="18" t="s">
        <v>24</v>
      </c>
      <c r="H12" s="20">
        <v>658918</v>
      </c>
      <c r="I12" s="18">
        <v>971510</v>
      </c>
      <c r="J12" s="20">
        <v>2483201</v>
      </c>
      <c r="K12" s="17">
        <f t="shared" si="0"/>
        <v>1629981</v>
      </c>
      <c r="L12" s="20">
        <v>507872</v>
      </c>
      <c r="M12" s="15">
        <f t="shared" si="1"/>
        <v>1975329</v>
      </c>
      <c r="N12" s="15">
        <f t="shared" si="2"/>
        <v>1122109</v>
      </c>
      <c r="O12" s="23"/>
      <c r="P12" s="23"/>
      <c r="Q12" s="21">
        <f>'F.3 Offshore and Onshore Wealth'!B8/M12</f>
        <v>0.30800532873258074</v>
      </c>
    </row>
    <row r="13" spans="1:26" x14ac:dyDescent="0.25">
      <c r="A13" s="19">
        <v>37986</v>
      </c>
      <c r="B13" s="18">
        <v>1594563</v>
      </c>
      <c r="C13" s="18">
        <v>432544</v>
      </c>
      <c r="D13" s="18">
        <v>144563</v>
      </c>
      <c r="E13" s="18">
        <v>205709</v>
      </c>
      <c r="F13" s="18">
        <v>136366</v>
      </c>
      <c r="G13" s="18" t="s">
        <v>24</v>
      </c>
      <c r="H13" s="20">
        <v>675381</v>
      </c>
      <c r="I13" s="18">
        <v>980213</v>
      </c>
      <c r="J13" s="20">
        <v>2574776</v>
      </c>
      <c r="K13" s="17">
        <f t="shared" si="0"/>
        <v>1703352.4</v>
      </c>
      <c r="L13" s="20">
        <v>536383</v>
      </c>
      <c r="M13" s="15">
        <f t="shared" si="1"/>
        <v>2038393</v>
      </c>
      <c r="N13" s="15">
        <f t="shared" si="2"/>
        <v>1166969.3999999999</v>
      </c>
      <c r="O13" s="15">
        <v>1019399.574826</v>
      </c>
      <c r="P13" s="24">
        <f t="shared" ref="P13:P21" si="3">O13/N13</f>
        <v>0.873544391846093</v>
      </c>
      <c r="Q13" s="21">
        <f>'F.3 Offshore and Onshore Wealth'!B9/M13</f>
        <v>0.33644351996891669</v>
      </c>
    </row>
    <row r="14" spans="1:26" x14ac:dyDescent="0.25">
      <c r="A14" s="19">
        <v>38352</v>
      </c>
      <c r="B14" s="18">
        <v>1644651</v>
      </c>
      <c r="C14" s="18">
        <v>446687</v>
      </c>
      <c r="D14" s="18">
        <v>138890</v>
      </c>
      <c r="E14" s="18">
        <v>209372</v>
      </c>
      <c r="F14" s="18">
        <v>158995</v>
      </c>
      <c r="G14" s="18" t="s">
        <v>24</v>
      </c>
      <c r="H14" s="20">
        <v>690707</v>
      </c>
      <c r="I14" s="18">
        <v>1023532</v>
      </c>
      <c r="J14" s="20">
        <v>2668183</v>
      </c>
      <c r="K14" s="17">
        <f t="shared" si="0"/>
        <v>1772769.6</v>
      </c>
      <c r="L14" s="20">
        <v>552478</v>
      </c>
      <c r="M14" s="15">
        <f t="shared" si="1"/>
        <v>2115705</v>
      </c>
      <c r="N14" s="15">
        <f t="shared" si="2"/>
        <v>1220291.6000000001</v>
      </c>
      <c r="O14" s="15">
        <v>1078583.0047780999</v>
      </c>
      <c r="P14" s="24">
        <f t="shared" si="3"/>
        <v>0.88387316996863685</v>
      </c>
      <c r="Q14" s="21">
        <f>'F.3 Offshore and Onshore Wealth'!B10/M14</f>
        <v>0.34061951453534395</v>
      </c>
    </row>
    <row r="15" spans="1:26" x14ac:dyDescent="0.25">
      <c r="A15" s="19">
        <v>38717</v>
      </c>
      <c r="B15" s="18">
        <v>1766492</v>
      </c>
      <c r="C15" s="18">
        <v>477579</v>
      </c>
      <c r="D15" s="18">
        <v>116241</v>
      </c>
      <c r="E15" s="18">
        <v>235728</v>
      </c>
      <c r="F15" s="18">
        <v>184140</v>
      </c>
      <c r="G15" s="18">
        <v>30343</v>
      </c>
      <c r="H15" s="20">
        <v>722461</v>
      </c>
      <c r="I15" s="18">
        <v>1088216</v>
      </c>
      <c r="J15" s="20">
        <v>2854708</v>
      </c>
      <c r="K15" s="17">
        <f t="shared" si="0"/>
        <v>1914603.8</v>
      </c>
      <c r="L15" s="20">
        <v>580170</v>
      </c>
      <c r="M15" s="15">
        <f t="shared" si="1"/>
        <v>2274538</v>
      </c>
      <c r="N15" s="15">
        <f t="shared" si="2"/>
        <v>1334433.8</v>
      </c>
      <c r="O15" s="15">
        <v>1164528.2765309999</v>
      </c>
      <c r="P15" s="24">
        <f t="shared" si="3"/>
        <v>0.87267594430761564</v>
      </c>
      <c r="Q15" s="21">
        <f>'F.3 Offshore and Onshore Wealth'!B11/M15</f>
        <v>0.38093204510102713</v>
      </c>
    </row>
    <row r="16" spans="1:26" x14ac:dyDescent="0.25">
      <c r="A16" s="19">
        <v>39082</v>
      </c>
      <c r="B16" s="18">
        <v>1892852</v>
      </c>
      <c r="C16" s="18">
        <v>506875</v>
      </c>
      <c r="D16" s="18">
        <v>122715</v>
      </c>
      <c r="E16" s="18">
        <v>261896</v>
      </c>
      <c r="F16" s="18">
        <v>210000</v>
      </c>
      <c r="G16" s="18">
        <v>42932</v>
      </c>
      <c r="H16" s="20">
        <v>748434</v>
      </c>
      <c r="I16" s="18">
        <v>1158274</v>
      </c>
      <c r="J16" s="20">
        <v>3051126</v>
      </c>
      <c r="K16" s="17">
        <f t="shared" si="0"/>
        <v>2071037.2000000002</v>
      </c>
      <c r="L16" s="20">
        <v>605475</v>
      </c>
      <c r="M16" s="15">
        <f t="shared" si="1"/>
        <v>2445651</v>
      </c>
      <c r="N16" s="15">
        <f t="shared" si="2"/>
        <v>1465562.2000000002</v>
      </c>
      <c r="O16" s="15">
        <v>1248121.0304006001</v>
      </c>
      <c r="P16" s="24">
        <f t="shared" si="3"/>
        <v>0.85163292994360795</v>
      </c>
      <c r="Q16" s="21">
        <f>'F.3 Offshore and Onshore Wealth'!B12/M16</f>
        <v>0.39959697929099447</v>
      </c>
    </row>
    <row r="17" spans="1:26" x14ac:dyDescent="0.25">
      <c r="A17" s="19">
        <v>39447</v>
      </c>
      <c r="B17" s="18">
        <v>1960448</v>
      </c>
      <c r="C17" s="18">
        <v>526122</v>
      </c>
      <c r="D17" s="18">
        <v>132969</v>
      </c>
      <c r="E17" s="18">
        <v>253060</v>
      </c>
      <c r="F17" s="18">
        <v>224645</v>
      </c>
      <c r="G17" s="18">
        <v>51155</v>
      </c>
      <c r="H17" s="20">
        <v>772497</v>
      </c>
      <c r="I17" s="18">
        <v>1252675</v>
      </c>
      <c r="J17" s="20">
        <v>3213123</v>
      </c>
      <c r="K17" s="17">
        <f t="shared" si="0"/>
        <v>2190091</v>
      </c>
      <c r="L17" s="20">
        <v>618946</v>
      </c>
      <c r="M17" s="15">
        <f t="shared" si="1"/>
        <v>2594177</v>
      </c>
      <c r="N17" s="15">
        <f t="shared" si="2"/>
        <v>1571145</v>
      </c>
      <c r="O17" s="15">
        <v>1348156.7380557</v>
      </c>
      <c r="P17" s="24">
        <f t="shared" si="3"/>
        <v>0.85807276734846238</v>
      </c>
      <c r="Q17" s="21">
        <f>'F.3 Offshore and Onshore Wealth'!B13/M17</f>
        <v>0.41763863452647987</v>
      </c>
    </row>
    <row r="18" spans="1:26" x14ac:dyDescent="0.25">
      <c r="A18" s="19">
        <v>39813</v>
      </c>
      <c r="B18" s="18">
        <v>1818199</v>
      </c>
      <c r="C18" s="18">
        <v>522952</v>
      </c>
      <c r="D18" s="18">
        <v>143169</v>
      </c>
      <c r="E18" s="18">
        <v>168914</v>
      </c>
      <c r="F18" s="18">
        <v>161546</v>
      </c>
      <c r="G18" s="18">
        <v>28098</v>
      </c>
      <c r="H18" s="20">
        <v>793520</v>
      </c>
      <c r="I18" s="18">
        <v>1325529</v>
      </c>
      <c r="J18" s="20">
        <v>3143728</v>
      </c>
      <c r="K18" s="17">
        <f t="shared" si="0"/>
        <v>2085102.2</v>
      </c>
      <c r="L18" s="20">
        <v>631462</v>
      </c>
      <c r="M18" s="15">
        <f t="shared" si="1"/>
        <v>2512266</v>
      </c>
      <c r="N18" s="15">
        <f t="shared" si="2"/>
        <v>1453640.2</v>
      </c>
      <c r="O18" s="15">
        <v>1279014.8797983001</v>
      </c>
      <c r="P18" s="24">
        <f t="shared" si="3"/>
        <v>0.87987032815843991</v>
      </c>
      <c r="Q18" s="21">
        <f>'F.3 Offshore and Onshore Wealth'!B14/M18</f>
        <v>0.32087753764927757</v>
      </c>
    </row>
    <row r="19" spans="1:26" x14ac:dyDescent="0.25">
      <c r="A19" s="19">
        <v>40178</v>
      </c>
      <c r="B19" s="18">
        <v>1933587</v>
      </c>
      <c r="C19" s="18">
        <v>549569</v>
      </c>
      <c r="D19" s="18">
        <v>147553</v>
      </c>
      <c r="E19" s="18">
        <v>211740</v>
      </c>
      <c r="F19" s="18">
        <v>180425</v>
      </c>
      <c r="G19" s="18">
        <v>28872</v>
      </c>
      <c r="H19" s="20">
        <v>815428</v>
      </c>
      <c r="I19" s="18">
        <v>1368533</v>
      </c>
      <c r="J19" s="20">
        <v>3302120</v>
      </c>
      <c r="K19" s="17">
        <f t="shared" si="0"/>
        <v>2212985.4000000004</v>
      </c>
      <c r="L19" s="20">
        <v>654154</v>
      </c>
      <c r="M19" s="15">
        <f t="shared" si="1"/>
        <v>2647966</v>
      </c>
      <c r="N19" s="15">
        <f t="shared" si="2"/>
        <v>1558831.4000000004</v>
      </c>
      <c r="O19" s="15">
        <v>1386780.7666</v>
      </c>
      <c r="P19" s="24">
        <f t="shared" si="3"/>
        <v>0.88962845282690584</v>
      </c>
      <c r="Q19" s="21">
        <f>'F.3 Offshore and Onshore Wealth'!B15/M19</f>
        <v>0.35490746482394414</v>
      </c>
    </row>
    <row r="20" spans="1:26" x14ac:dyDescent="0.25">
      <c r="A20" s="19">
        <v>40543</v>
      </c>
      <c r="B20" s="18">
        <v>1972444</v>
      </c>
      <c r="C20" s="18">
        <v>585915</v>
      </c>
      <c r="D20" s="18">
        <v>127276</v>
      </c>
      <c r="E20" s="18">
        <v>214815</v>
      </c>
      <c r="F20" s="18">
        <v>182286</v>
      </c>
      <c r="G20" s="18">
        <v>28042</v>
      </c>
      <c r="H20" s="20">
        <v>834110</v>
      </c>
      <c r="I20" s="18">
        <v>1424213</v>
      </c>
      <c r="J20" s="20">
        <v>3396657</v>
      </c>
      <c r="K20" s="17">
        <f t="shared" si="0"/>
        <v>2277704.4000000004</v>
      </c>
      <c r="L20" s="20">
        <v>683713</v>
      </c>
      <c r="M20" s="15">
        <f t="shared" si="1"/>
        <v>2712944</v>
      </c>
      <c r="N20" s="15">
        <f t="shared" si="2"/>
        <v>1593991.4000000004</v>
      </c>
      <c r="O20" s="15">
        <v>1433902.7135949999</v>
      </c>
      <c r="P20" s="24">
        <f t="shared" si="3"/>
        <v>0.89956740895528009</v>
      </c>
      <c r="Q20" s="21">
        <f>'F.3 Offshore and Onshore Wealth'!B16/M20</f>
        <v>0.33575592124275327</v>
      </c>
    </row>
    <row r="21" spans="1:26" x14ac:dyDescent="0.25">
      <c r="A21" s="19">
        <v>40908</v>
      </c>
      <c r="B21" s="18">
        <v>2010606</v>
      </c>
      <c r="C21" s="18">
        <v>628473</v>
      </c>
      <c r="D21" s="18">
        <v>118835</v>
      </c>
      <c r="E21" s="18">
        <v>213922</v>
      </c>
      <c r="F21" s="18">
        <v>166999</v>
      </c>
      <c r="G21" s="18">
        <v>24342</v>
      </c>
      <c r="H21" s="20">
        <v>858035</v>
      </c>
      <c r="I21" s="18">
        <v>1556845</v>
      </c>
      <c r="J21" s="20">
        <v>3567451</v>
      </c>
      <c r="K21" s="17">
        <f t="shared" si="0"/>
        <v>2398047</v>
      </c>
      <c r="L21" s="20">
        <v>712852</v>
      </c>
      <c r="M21" s="15">
        <f t="shared" si="1"/>
        <v>2854599</v>
      </c>
      <c r="N21" s="15">
        <f t="shared" si="2"/>
        <v>1685195</v>
      </c>
      <c r="O21" s="15">
        <v>1474955.9</v>
      </c>
      <c r="P21" s="24">
        <f t="shared" si="3"/>
        <v>0.87524345847216489</v>
      </c>
      <c r="Q21" s="21">
        <f>'F.3 Offshore and Onshore Wealth'!B17/M21</f>
        <v>0.31101018496818644</v>
      </c>
    </row>
    <row r="22" spans="1:26" x14ac:dyDescent="0.25">
      <c r="A22" s="19">
        <v>41274</v>
      </c>
      <c r="B22" s="18">
        <v>2107858</v>
      </c>
      <c r="C22" s="18">
        <v>671532</v>
      </c>
      <c r="D22" s="18">
        <v>115884</v>
      </c>
      <c r="E22" s="18">
        <v>226647</v>
      </c>
      <c r="F22" s="18">
        <v>179860</v>
      </c>
      <c r="G22" s="18">
        <v>23712</v>
      </c>
      <c r="H22" s="20">
        <v>890223</v>
      </c>
      <c r="I22" s="18">
        <v>1662210</v>
      </c>
      <c r="J22" s="20">
        <v>3770068</v>
      </c>
      <c r="K22" s="17">
        <f t="shared" si="0"/>
        <v>2547403</v>
      </c>
      <c r="L22" s="20">
        <v>740846</v>
      </c>
      <c r="M22" s="15">
        <f t="shared" si="1"/>
        <v>3029222</v>
      </c>
      <c r="N22" s="15">
        <f t="shared" si="2"/>
        <v>1806557</v>
      </c>
      <c r="O22" s="23"/>
      <c r="P22" s="23"/>
      <c r="Q22" s="21">
        <f>'F.3 Offshore and Onshore Wealth'!B18/M22</f>
        <v>0.31385956526131131</v>
      </c>
    </row>
    <row r="23" spans="1:26" x14ac:dyDescent="0.25">
      <c r="A23" s="19">
        <v>41639</v>
      </c>
      <c r="B23" s="18">
        <v>2212840</v>
      </c>
      <c r="C23" s="18">
        <v>706204</v>
      </c>
      <c r="D23" s="18">
        <v>102825</v>
      </c>
      <c r="E23" s="18">
        <v>266781</v>
      </c>
      <c r="F23" s="18">
        <v>194004</v>
      </c>
      <c r="G23" s="18">
        <v>23655</v>
      </c>
      <c r="H23" s="20">
        <v>919371</v>
      </c>
      <c r="I23" s="18">
        <v>1738890</v>
      </c>
      <c r="J23" s="20">
        <v>3951730</v>
      </c>
      <c r="K23" s="17">
        <f t="shared" si="0"/>
        <v>2684581</v>
      </c>
      <c r="L23" s="20">
        <v>765603</v>
      </c>
      <c r="M23" s="15">
        <f t="shared" si="1"/>
        <v>3186127</v>
      </c>
      <c r="N23" s="15">
        <f t="shared" si="2"/>
        <v>1918978</v>
      </c>
      <c r="O23" s="23"/>
      <c r="P23" s="23"/>
      <c r="Q23" s="21">
        <f>'F.3 Offshore and Onshore Wealth'!B19/M23</f>
        <v>0.31124131712263819</v>
      </c>
    </row>
    <row r="24" spans="1:26" x14ac:dyDescent="0.25">
      <c r="A24" t="s">
        <v>51</v>
      </c>
      <c r="O24" s="23"/>
      <c r="P24" s="23"/>
      <c r="Z24" s="14"/>
    </row>
    <row r="25" spans="1:26" x14ac:dyDescent="0.25">
      <c r="O25" s="23"/>
      <c r="P25" s="23"/>
      <c r="Z25" s="14"/>
    </row>
    <row r="26" spans="1:26" x14ac:dyDescent="0.25">
      <c r="A26" t="s">
        <v>35</v>
      </c>
      <c r="O26" s="23"/>
      <c r="P26" s="23"/>
      <c r="T26" s="16" t="s">
        <v>25</v>
      </c>
      <c r="Z26" s="14"/>
    </row>
    <row r="27" spans="1:26" x14ac:dyDescent="0.25">
      <c r="A27" t="s">
        <v>43</v>
      </c>
    </row>
    <row r="28" spans="1:26" x14ac:dyDescent="0.25">
      <c r="A28" t="s">
        <v>44</v>
      </c>
    </row>
  </sheetData>
  <mergeCells count="1">
    <mergeCell ref="B6:H6"/>
  </mergeCells>
  <pageMargins left="0.7" right="0.7" top="0.78740157499999996" bottom="0.78740157499999996"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activeCell="A24" sqref="A24"/>
    </sheetView>
  </sheetViews>
  <sheetFormatPr baseColWidth="10" defaultRowHeight="15" x14ac:dyDescent="0.25"/>
  <sheetData>
    <row r="1" spans="1:7" x14ac:dyDescent="0.25">
      <c r="A1" s="12" t="s">
        <v>124</v>
      </c>
    </row>
    <row r="3" spans="1:7" x14ac:dyDescent="0.25">
      <c r="A3" t="s">
        <v>1</v>
      </c>
      <c r="B3" t="s">
        <v>20</v>
      </c>
      <c r="C3" t="s">
        <v>21</v>
      </c>
      <c r="E3" s="16" t="s">
        <v>22</v>
      </c>
      <c r="G3" s="14" t="s">
        <v>55</v>
      </c>
    </row>
    <row r="5" spans="1:7" x14ac:dyDescent="0.25">
      <c r="A5" s="19">
        <v>36525</v>
      </c>
      <c r="B5" s="17">
        <v>712101.96199999994</v>
      </c>
      <c r="E5" s="17">
        <v>813127.44299999997</v>
      </c>
      <c r="G5" s="14">
        <f t="shared" ref="G5:G20" si="0">B5/(E5+B5)</f>
        <v>0.46688187341890386</v>
      </c>
    </row>
    <row r="6" spans="1:7" x14ac:dyDescent="0.25">
      <c r="A6" s="19">
        <v>36891</v>
      </c>
      <c r="B6" s="17">
        <v>731278.94900000002</v>
      </c>
      <c r="C6" s="15">
        <f>'F.2 Household Wealth SNB'!M10-B6</f>
        <v>1349118.051</v>
      </c>
      <c r="E6" s="17">
        <v>878475.75900000008</v>
      </c>
      <c r="G6" s="14">
        <f t="shared" si="0"/>
        <v>0.45427973924583792</v>
      </c>
    </row>
    <row r="7" spans="1:7" x14ac:dyDescent="0.25">
      <c r="A7" s="19">
        <v>37256</v>
      </c>
      <c r="B7" s="17">
        <v>694119.48700000008</v>
      </c>
      <c r="C7" s="15">
        <f>'F.2 Household Wealth SNB'!M11-B7</f>
        <v>1329567.5129999998</v>
      </c>
      <c r="E7" s="17">
        <v>742637.603</v>
      </c>
      <c r="G7" s="14">
        <f t="shared" si="0"/>
        <v>0.48311540749035042</v>
      </c>
    </row>
    <row r="8" spans="1:7" x14ac:dyDescent="0.25">
      <c r="A8" s="19">
        <v>37621</v>
      </c>
      <c r="B8" s="17">
        <v>608411.85800000001</v>
      </c>
      <c r="C8" s="15">
        <f>'F.2 Household Wealth SNB'!M12-B8</f>
        <v>1366917.142</v>
      </c>
      <c r="E8" s="17">
        <v>617366.07999999996</v>
      </c>
      <c r="G8" s="14">
        <f t="shared" si="0"/>
        <v>0.49634753501331164</v>
      </c>
    </row>
    <row r="9" spans="1:7" x14ac:dyDescent="0.25">
      <c r="A9" s="19">
        <v>37986</v>
      </c>
      <c r="B9" s="17">
        <v>685804.11600000004</v>
      </c>
      <c r="C9" s="15">
        <f>'F.2 Household Wealth SNB'!M13-B9</f>
        <v>1352588.8840000001</v>
      </c>
      <c r="E9" s="17">
        <v>675776.03899999999</v>
      </c>
      <c r="G9" s="14">
        <f t="shared" si="0"/>
        <v>0.50368251437977229</v>
      </c>
    </row>
    <row r="10" spans="1:7" x14ac:dyDescent="0.25">
      <c r="A10" s="19">
        <v>38352</v>
      </c>
      <c r="B10" s="17">
        <v>720650.40999999992</v>
      </c>
      <c r="C10" s="15">
        <f>'F.2 Household Wealth SNB'!M14-B10</f>
        <v>1395054.59</v>
      </c>
      <c r="E10" s="17">
        <v>757593.86700000009</v>
      </c>
      <c r="G10" s="14">
        <f t="shared" si="0"/>
        <v>0.48750427869912866</v>
      </c>
    </row>
    <row r="11" spans="1:7" x14ac:dyDescent="0.25">
      <c r="A11" s="19">
        <v>38717</v>
      </c>
      <c r="B11" s="17">
        <v>866444.41200000001</v>
      </c>
      <c r="C11" s="15">
        <f>'F.2 Household Wealth SNB'!M15-B11</f>
        <v>1408093.588</v>
      </c>
      <c r="E11" s="17">
        <v>910558.77299999993</v>
      </c>
      <c r="G11" s="14">
        <f t="shared" si="0"/>
        <v>0.48758742770627056</v>
      </c>
    </row>
    <row r="12" spans="1:7" x14ac:dyDescent="0.25">
      <c r="A12" s="19">
        <v>39082</v>
      </c>
      <c r="B12" s="17">
        <v>977274.75199999998</v>
      </c>
      <c r="C12" s="15">
        <f>'F.2 Household Wealth SNB'!M16-B12</f>
        <v>1468376.2480000001</v>
      </c>
      <c r="E12" s="17">
        <v>1015590.588</v>
      </c>
      <c r="G12" s="14">
        <f t="shared" si="0"/>
        <v>0.49038674735544352</v>
      </c>
    </row>
    <row r="13" spans="1:7" x14ac:dyDescent="0.25">
      <c r="A13" s="19">
        <v>39447</v>
      </c>
      <c r="B13" s="17">
        <v>1083428.54</v>
      </c>
      <c r="C13" s="15">
        <f>'F.2 Household Wealth SNB'!M17-B13</f>
        <v>1510748.46</v>
      </c>
      <c r="E13" s="17">
        <v>1079984.6939999999</v>
      </c>
      <c r="G13" s="14">
        <f t="shared" si="0"/>
        <v>0.50079592884657376</v>
      </c>
    </row>
    <row r="14" spans="1:7" x14ac:dyDescent="0.25">
      <c r="A14" s="19">
        <v>39813</v>
      </c>
      <c r="B14" s="17">
        <v>806129.728</v>
      </c>
      <c r="C14" s="15">
        <f>'F.2 Household Wealth SNB'!M18-B14</f>
        <v>1706136.2719999999</v>
      </c>
      <c r="E14" s="17">
        <v>850942.397</v>
      </c>
      <c r="G14" s="14">
        <f t="shared" si="0"/>
        <v>0.48647835893081598</v>
      </c>
    </row>
    <row r="15" spans="1:7" x14ac:dyDescent="0.25">
      <c r="A15" s="19">
        <v>40178</v>
      </c>
      <c r="B15" s="17">
        <v>939782.9</v>
      </c>
      <c r="C15" s="15">
        <f>'F.2 Household Wealth SNB'!M19-B15</f>
        <v>1708183.1</v>
      </c>
      <c r="E15" s="17">
        <v>1007418</v>
      </c>
      <c r="G15" s="14">
        <f t="shared" si="0"/>
        <v>0.48263273707402254</v>
      </c>
    </row>
    <row r="16" spans="1:7" x14ac:dyDescent="0.25">
      <c r="A16" s="19">
        <v>40543</v>
      </c>
      <c r="B16" s="17">
        <v>910887.01199999999</v>
      </c>
      <c r="C16" s="15">
        <f>'F.2 Household Wealth SNB'!M20-B16</f>
        <v>1802056.9879999999</v>
      </c>
      <c r="E16" s="17">
        <v>1085073.237</v>
      </c>
      <c r="G16" s="14">
        <f t="shared" si="0"/>
        <v>0.4563653071028671</v>
      </c>
    </row>
    <row r="17" spans="1:7" x14ac:dyDescent="0.25">
      <c r="A17" s="19">
        <v>40908</v>
      </c>
      <c r="B17" s="17">
        <v>887809.36300000001</v>
      </c>
      <c r="C17" s="15">
        <f>'F.2 Household Wealth SNB'!M21-B17</f>
        <v>1966789.6370000001</v>
      </c>
      <c r="E17" s="17">
        <v>1062501.9080000001</v>
      </c>
      <c r="G17" s="14">
        <f t="shared" si="0"/>
        <v>0.45521418873038955</v>
      </c>
    </row>
    <row r="18" spans="1:7" x14ac:dyDescent="0.25">
      <c r="A18" s="19">
        <v>41274</v>
      </c>
      <c r="B18" s="17">
        <v>950750.3</v>
      </c>
      <c r="C18" s="15">
        <f>'F.2 Household Wealth SNB'!M22-B18</f>
        <v>2078471.7</v>
      </c>
      <c r="E18" s="17">
        <v>1219786</v>
      </c>
      <c r="G18" s="14">
        <f t="shared" si="0"/>
        <v>0.43802552392235972</v>
      </c>
    </row>
    <row r="19" spans="1:7" x14ac:dyDescent="0.25">
      <c r="A19" s="19">
        <v>41639</v>
      </c>
      <c r="B19" s="17">
        <v>991654.36399999994</v>
      </c>
      <c r="C19" s="15">
        <f>'F.2 Household Wealth SNB'!M23-B19</f>
        <v>2194472.6359999999</v>
      </c>
      <c r="E19" s="17">
        <v>1337406.8230000001</v>
      </c>
      <c r="G19" s="14">
        <f t="shared" si="0"/>
        <v>0.42577428602351269</v>
      </c>
    </row>
    <row r="20" spans="1:7" x14ac:dyDescent="0.25">
      <c r="A20" s="19">
        <v>42004</v>
      </c>
      <c r="B20" s="17">
        <v>1076338.439</v>
      </c>
      <c r="E20" s="17">
        <v>1487747.862</v>
      </c>
      <c r="G20" s="14">
        <f t="shared" si="0"/>
        <v>0.41977465367691619</v>
      </c>
    </row>
    <row r="21" spans="1:7" x14ac:dyDescent="0.25">
      <c r="A21" t="s">
        <v>51</v>
      </c>
    </row>
    <row r="22" spans="1:7" x14ac:dyDescent="0.25">
      <c r="A22" t="s">
        <v>56</v>
      </c>
    </row>
    <row r="23" spans="1:7" x14ac:dyDescent="0.25">
      <c r="A23" t="s">
        <v>129</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workbookViewId="0"/>
  </sheetViews>
  <sheetFormatPr baseColWidth="10" defaultRowHeight="15" x14ac:dyDescent="0.25"/>
  <sheetData>
    <row r="1" spans="1:14" x14ac:dyDescent="0.25">
      <c r="A1" s="12" t="s">
        <v>125</v>
      </c>
    </row>
    <row r="2" spans="1:14" x14ac:dyDescent="0.25">
      <c r="B2" t="s">
        <v>53</v>
      </c>
      <c r="I2" t="s">
        <v>54</v>
      </c>
    </row>
    <row r="3" spans="1:14" x14ac:dyDescent="0.25">
      <c r="B3" s="13" t="s">
        <v>45</v>
      </c>
      <c r="C3" s="13" t="s">
        <v>46</v>
      </c>
      <c r="D3" s="13" t="s">
        <v>47</v>
      </c>
      <c r="E3" s="13" t="s">
        <v>50</v>
      </c>
      <c r="F3" s="13" t="s">
        <v>52</v>
      </c>
      <c r="G3" s="13" t="s">
        <v>19</v>
      </c>
      <c r="I3" s="13" t="s">
        <v>45</v>
      </c>
      <c r="J3" s="13" t="s">
        <v>46</v>
      </c>
      <c r="K3" s="13" t="s">
        <v>47</v>
      </c>
      <c r="L3" s="13" t="s">
        <v>50</v>
      </c>
      <c r="M3" s="13" t="s">
        <v>52</v>
      </c>
      <c r="N3" s="13" t="s">
        <v>19</v>
      </c>
    </row>
    <row r="5" spans="1:14" x14ac:dyDescent="0.25">
      <c r="A5" s="19">
        <v>36160</v>
      </c>
      <c r="B5" s="20">
        <v>15451.034</v>
      </c>
      <c r="C5" s="20">
        <v>23958.468000000001</v>
      </c>
      <c r="D5" s="20">
        <v>7058.1329999999998</v>
      </c>
      <c r="E5" s="20">
        <v>12433.333000000001</v>
      </c>
      <c r="F5" s="20">
        <v>115.36499999999999</v>
      </c>
      <c r="G5" s="20">
        <v>59016.330999999998</v>
      </c>
      <c r="H5" s="18"/>
      <c r="I5" s="20">
        <v>2052.279</v>
      </c>
      <c r="J5" s="20">
        <v>183.702</v>
      </c>
      <c r="K5" s="20">
        <v>53.825000000000003</v>
      </c>
      <c r="L5" s="20">
        <v>263.21199999999999</v>
      </c>
      <c r="M5" s="20">
        <v>1.4370000000000001</v>
      </c>
      <c r="N5" s="20">
        <v>2554.4549999999999</v>
      </c>
    </row>
    <row r="6" spans="1:14" x14ac:dyDescent="0.25">
      <c r="A6" s="19">
        <v>36525</v>
      </c>
      <c r="B6" s="20">
        <v>15208.755999999999</v>
      </c>
      <c r="C6" s="20">
        <v>25822.01</v>
      </c>
      <c r="D6" s="20">
        <v>17278.615000000002</v>
      </c>
      <c r="E6" s="20">
        <v>4705.558</v>
      </c>
      <c r="F6" s="20">
        <v>118.714</v>
      </c>
      <c r="G6" s="20">
        <v>63133.654000000002</v>
      </c>
      <c r="H6" s="18"/>
      <c r="I6" s="20">
        <v>2314.645</v>
      </c>
      <c r="J6" s="20">
        <v>941.88900000000001</v>
      </c>
      <c r="K6" s="20">
        <v>456.98500000000001</v>
      </c>
      <c r="L6" s="20">
        <v>126.4</v>
      </c>
      <c r="M6" s="20">
        <v>79.650000000000006</v>
      </c>
      <c r="N6" s="20">
        <v>3919.57</v>
      </c>
    </row>
    <row r="7" spans="1:14" x14ac:dyDescent="0.25">
      <c r="A7" s="19">
        <v>36891</v>
      </c>
      <c r="B7" s="20">
        <v>21661.435000000001</v>
      </c>
      <c r="C7" s="20">
        <v>26914.656999999999</v>
      </c>
      <c r="D7" s="20">
        <v>22048.064999999999</v>
      </c>
      <c r="E7" s="20">
        <v>4741.7349999999997</v>
      </c>
      <c r="F7" s="20">
        <v>109.405</v>
      </c>
      <c r="G7" s="20">
        <v>75475.294999999998</v>
      </c>
      <c r="H7" s="18"/>
      <c r="I7" s="20">
        <v>1858.5329999999999</v>
      </c>
      <c r="J7" s="20">
        <v>1038.5309999999999</v>
      </c>
      <c r="K7" s="20">
        <v>225.29300000000001</v>
      </c>
      <c r="L7" s="20">
        <v>76.227999999999994</v>
      </c>
      <c r="M7" s="20">
        <v>67.394000000000005</v>
      </c>
      <c r="N7" s="20">
        <v>3265.9789999999998</v>
      </c>
    </row>
    <row r="8" spans="1:14" x14ac:dyDescent="0.25">
      <c r="A8" s="19">
        <v>37256</v>
      </c>
      <c r="B8" s="20">
        <v>24013.494999999999</v>
      </c>
      <c r="C8" s="20">
        <v>21406.577000000001</v>
      </c>
      <c r="D8" s="20">
        <v>19692.147000000001</v>
      </c>
      <c r="E8" s="20">
        <v>4021.5390000000002</v>
      </c>
      <c r="F8" s="20">
        <v>112.93300000000001</v>
      </c>
      <c r="G8" s="20">
        <v>69246.687999999995</v>
      </c>
      <c r="H8" s="18"/>
      <c r="I8" s="20">
        <v>1813.461</v>
      </c>
      <c r="J8" s="20">
        <v>315.98899999999998</v>
      </c>
      <c r="K8" s="20">
        <v>338.36200000000002</v>
      </c>
      <c r="L8" s="20">
        <v>58.031999999999996</v>
      </c>
      <c r="M8" s="20">
        <v>70.055000000000007</v>
      </c>
      <c r="N8" s="20">
        <v>2595.8989999999999</v>
      </c>
    </row>
    <row r="9" spans="1:14" x14ac:dyDescent="0.25">
      <c r="A9" s="19">
        <v>37621</v>
      </c>
      <c r="B9" s="20">
        <v>16523.638999999999</v>
      </c>
      <c r="C9" s="20">
        <v>15491.864</v>
      </c>
      <c r="D9" s="20">
        <v>18291.946</v>
      </c>
      <c r="E9" s="20">
        <v>3844.558</v>
      </c>
      <c r="F9" s="20">
        <v>4.2</v>
      </c>
      <c r="G9" s="20">
        <v>54156.207999999999</v>
      </c>
      <c r="H9" s="18"/>
      <c r="I9" s="20">
        <v>1642.5889999999999</v>
      </c>
      <c r="J9" s="20">
        <v>221.75299999999999</v>
      </c>
      <c r="K9" s="20">
        <v>195.761</v>
      </c>
      <c r="L9" s="20">
        <v>23.673999999999999</v>
      </c>
      <c r="M9" s="20">
        <v>58.6</v>
      </c>
      <c r="N9" s="20">
        <v>2142.377</v>
      </c>
    </row>
    <row r="10" spans="1:14" x14ac:dyDescent="0.25">
      <c r="A10" s="19">
        <v>37986</v>
      </c>
      <c r="B10" s="20">
        <v>8827.4889999999996</v>
      </c>
      <c r="C10" s="20">
        <v>15644.791999999999</v>
      </c>
      <c r="D10" s="20">
        <v>20355.834999999999</v>
      </c>
      <c r="E10" s="20">
        <v>4199.0619999999999</v>
      </c>
      <c r="F10" s="20">
        <v>2.3780000000000001</v>
      </c>
      <c r="G10" s="20">
        <v>49029.557999999997</v>
      </c>
      <c r="H10" s="18"/>
      <c r="I10" s="20">
        <v>1318.29</v>
      </c>
      <c r="J10" s="20">
        <v>641.17399999999998</v>
      </c>
      <c r="K10" s="20">
        <v>805.27700000000004</v>
      </c>
      <c r="L10" s="20">
        <v>109.206</v>
      </c>
      <c r="M10" s="20">
        <v>62.8</v>
      </c>
      <c r="N10" s="20">
        <v>2936.748</v>
      </c>
    </row>
    <row r="11" spans="1:14" x14ac:dyDescent="0.25">
      <c r="A11" s="19">
        <v>38352</v>
      </c>
      <c r="B11" s="20">
        <v>10581.298000000001</v>
      </c>
      <c r="C11" s="20">
        <v>14758.472</v>
      </c>
      <c r="D11" s="20">
        <v>19112.490000000002</v>
      </c>
      <c r="E11" s="20">
        <v>4617.1229999999996</v>
      </c>
      <c r="F11" s="20">
        <v>0.55600000000000005</v>
      </c>
      <c r="G11" s="20">
        <v>49069.94</v>
      </c>
      <c r="H11" s="18"/>
      <c r="I11" s="20">
        <v>1828.269</v>
      </c>
      <c r="J11" s="20">
        <v>234.755</v>
      </c>
      <c r="K11" s="20">
        <v>281.93299999999999</v>
      </c>
      <c r="L11" s="20">
        <v>40.868000000000002</v>
      </c>
      <c r="M11" s="20">
        <v>56.384</v>
      </c>
      <c r="N11" s="20">
        <v>2442.2080000000001</v>
      </c>
    </row>
    <row r="12" spans="1:14" x14ac:dyDescent="0.25">
      <c r="A12" s="19">
        <v>38717</v>
      </c>
      <c r="B12" s="20">
        <v>14301.361999999999</v>
      </c>
      <c r="C12" s="20">
        <v>18710.654999999999</v>
      </c>
      <c r="D12" s="20">
        <v>20995.675999999999</v>
      </c>
      <c r="E12" s="20">
        <v>6356.3429999999998</v>
      </c>
      <c r="F12" s="20" t="s">
        <v>48</v>
      </c>
      <c r="G12" s="20">
        <v>60364.035000000003</v>
      </c>
      <c r="H12" s="18"/>
      <c r="I12" s="20">
        <v>1784.3889999999999</v>
      </c>
      <c r="J12" s="20">
        <v>284.12900000000002</v>
      </c>
      <c r="K12" s="20">
        <v>252.809</v>
      </c>
      <c r="L12" s="20">
        <v>137.196</v>
      </c>
      <c r="M12" s="20">
        <v>76.831000000000003</v>
      </c>
      <c r="N12" s="20">
        <v>2535.3530000000001</v>
      </c>
    </row>
    <row r="13" spans="1:14" x14ac:dyDescent="0.25">
      <c r="A13" s="19">
        <v>39082</v>
      </c>
      <c r="B13" s="20">
        <v>18719.314999999999</v>
      </c>
      <c r="C13" s="20">
        <v>19933.662</v>
      </c>
      <c r="D13" s="20">
        <v>26836.63</v>
      </c>
      <c r="E13" s="20">
        <v>8060.1729999999998</v>
      </c>
      <c r="F13" s="20">
        <v>5.7510000000000003</v>
      </c>
      <c r="G13" s="20">
        <v>73555.528999999995</v>
      </c>
      <c r="H13" s="18"/>
      <c r="I13" s="20">
        <v>1688.2380000000001</v>
      </c>
      <c r="J13" s="20">
        <v>794.72400000000005</v>
      </c>
      <c r="K13" s="20">
        <v>1119.386</v>
      </c>
      <c r="L13" s="20">
        <v>84.343000000000004</v>
      </c>
      <c r="M13" s="20">
        <v>72.135000000000005</v>
      </c>
      <c r="N13" s="20">
        <v>3758.826</v>
      </c>
    </row>
    <row r="14" spans="1:14" x14ac:dyDescent="0.25">
      <c r="A14" s="19">
        <v>39447</v>
      </c>
      <c r="B14" s="20">
        <v>21207.823</v>
      </c>
      <c r="C14" s="20">
        <v>21527.629000000001</v>
      </c>
      <c r="D14" s="20">
        <v>29768.34</v>
      </c>
      <c r="E14" s="20">
        <v>8918.8359999999993</v>
      </c>
      <c r="F14" s="20">
        <v>5.819</v>
      </c>
      <c r="G14" s="20">
        <v>81428.45</v>
      </c>
      <c r="H14" s="18"/>
      <c r="I14" s="20">
        <v>1836.1320000000001</v>
      </c>
      <c r="J14" s="20">
        <v>998.49800000000005</v>
      </c>
      <c r="K14" s="20">
        <v>426.548</v>
      </c>
      <c r="L14" s="20">
        <v>100.809</v>
      </c>
      <c r="M14" s="20">
        <v>120.767</v>
      </c>
      <c r="N14" s="20">
        <v>3482.7539999999999</v>
      </c>
    </row>
    <row r="15" spans="1:14" x14ac:dyDescent="0.25">
      <c r="A15" s="19">
        <v>39813</v>
      </c>
      <c r="B15" s="20">
        <v>17469.645</v>
      </c>
      <c r="C15" s="20">
        <v>15929.784</v>
      </c>
      <c r="D15" s="20">
        <v>27587.248</v>
      </c>
      <c r="E15" s="20">
        <v>6263.4870000000001</v>
      </c>
      <c r="F15" s="20">
        <v>8.7870000000000008</v>
      </c>
      <c r="G15" s="20">
        <v>67258.95</v>
      </c>
      <c r="H15" s="18"/>
      <c r="I15" s="20">
        <v>1446.8130000000001</v>
      </c>
      <c r="J15" s="20">
        <v>663.66399999999999</v>
      </c>
      <c r="K15" s="20">
        <v>646.77700000000004</v>
      </c>
      <c r="L15" s="20">
        <v>131.083</v>
      </c>
      <c r="M15" s="20" t="s">
        <v>48</v>
      </c>
      <c r="N15" s="20">
        <v>2888.3359999999998</v>
      </c>
    </row>
    <row r="16" spans="1:14" x14ac:dyDescent="0.25">
      <c r="A16" s="19">
        <v>40178</v>
      </c>
      <c r="B16" s="20">
        <v>14327.966</v>
      </c>
      <c r="C16" s="20">
        <v>11095.174000000001</v>
      </c>
      <c r="D16" s="20">
        <v>16588.048999999999</v>
      </c>
      <c r="E16" s="20">
        <v>4839.7939999999999</v>
      </c>
      <c r="F16" s="20">
        <v>3.919</v>
      </c>
      <c r="G16" s="20">
        <v>46854.900999999998</v>
      </c>
      <c r="H16" s="18"/>
      <c r="I16" s="20">
        <v>2476.0419999999999</v>
      </c>
      <c r="J16" s="20">
        <v>911.19100000000003</v>
      </c>
      <c r="K16" s="20">
        <v>481.25700000000001</v>
      </c>
      <c r="L16" s="20">
        <v>247.23099999999999</v>
      </c>
      <c r="M16" s="20">
        <v>6.1040000000000001</v>
      </c>
      <c r="N16" s="20">
        <v>4121.8249999999998</v>
      </c>
    </row>
    <row r="17" spans="1:21" x14ac:dyDescent="0.25">
      <c r="A17" s="19">
        <v>40543</v>
      </c>
      <c r="B17" s="20">
        <v>8428.4680000000008</v>
      </c>
      <c r="C17" s="20">
        <v>9180.2749999999996</v>
      </c>
      <c r="D17" s="20">
        <v>11103.474</v>
      </c>
      <c r="E17" s="20">
        <v>7183.8410000000003</v>
      </c>
      <c r="F17" s="20">
        <v>0.13200000000000001</v>
      </c>
      <c r="G17" s="20">
        <v>35896.188000000002</v>
      </c>
      <c r="H17" s="18"/>
      <c r="I17" s="20">
        <v>2338.8670000000002</v>
      </c>
      <c r="J17" s="20">
        <v>779.01300000000003</v>
      </c>
      <c r="K17" s="20">
        <v>497.37799999999999</v>
      </c>
      <c r="L17" s="20">
        <v>165.29499999999999</v>
      </c>
      <c r="M17" s="20" t="s">
        <v>48</v>
      </c>
      <c r="N17" s="20">
        <v>3780.5540000000001</v>
      </c>
    </row>
    <row r="18" spans="1:21" x14ac:dyDescent="0.25">
      <c r="A18" s="19">
        <v>40908</v>
      </c>
      <c r="B18" s="20">
        <v>6211.7529999999997</v>
      </c>
      <c r="C18" s="20">
        <v>8604.0249999999996</v>
      </c>
      <c r="D18" s="20">
        <v>11273.460999999999</v>
      </c>
      <c r="E18" s="20">
        <v>5491.9610000000002</v>
      </c>
      <c r="F18" s="20">
        <v>22.172000000000001</v>
      </c>
      <c r="G18" s="20">
        <v>31603.370999999999</v>
      </c>
      <c r="H18" s="18"/>
      <c r="I18" s="20">
        <v>2507.8739999999998</v>
      </c>
      <c r="J18" s="20">
        <v>777.25099999999998</v>
      </c>
      <c r="K18" s="20">
        <v>1671.7909999999999</v>
      </c>
      <c r="L18" s="20">
        <v>215.64500000000001</v>
      </c>
      <c r="M18" s="20">
        <v>17.491</v>
      </c>
      <c r="N18" s="20">
        <v>5190.0529999999999</v>
      </c>
    </row>
    <row r="19" spans="1:21" x14ac:dyDescent="0.25">
      <c r="A19" s="19">
        <v>41274</v>
      </c>
      <c r="B19" s="20">
        <v>4566.9009999999998</v>
      </c>
      <c r="C19" s="20">
        <v>8337.1239999999998</v>
      </c>
      <c r="D19" s="20">
        <v>5851.1229999999996</v>
      </c>
      <c r="E19" s="20">
        <v>6057.9</v>
      </c>
      <c r="F19" s="20">
        <v>15.03</v>
      </c>
      <c r="G19" s="20">
        <v>24828.079000000002</v>
      </c>
      <c r="H19" s="18"/>
      <c r="I19" s="20">
        <v>2565.7020000000002</v>
      </c>
      <c r="J19" s="20">
        <v>1344.1590000000001</v>
      </c>
      <c r="K19" s="20">
        <v>1600.636</v>
      </c>
      <c r="L19" s="20">
        <v>302.03100000000001</v>
      </c>
      <c r="M19" s="20">
        <v>82.269000000000005</v>
      </c>
      <c r="N19" s="20">
        <v>5894.7960000000003</v>
      </c>
    </row>
    <row r="20" spans="1:21" x14ac:dyDescent="0.25">
      <c r="A20" s="19">
        <v>41639</v>
      </c>
      <c r="B20" s="20">
        <v>4527.7330000000002</v>
      </c>
      <c r="C20" s="20">
        <v>8198.5509999999995</v>
      </c>
      <c r="D20" s="20">
        <v>4790.8620000000001</v>
      </c>
      <c r="E20" s="20">
        <v>3437.942</v>
      </c>
      <c r="F20" s="20">
        <v>11.55</v>
      </c>
      <c r="G20" s="20">
        <v>20966.638999999999</v>
      </c>
      <c r="H20" s="18"/>
      <c r="I20" s="20">
        <v>2297.3310000000001</v>
      </c>
      <c r="J20" s="20">
        <v>1213.3779999999999</v>
      </c>
      <c r="K20" s="20">
        <v>1246.954</v>
      </c>
      <c r="L20" s="20">
        <v>245.36799999999999</v>
      </c>
      <c r="M20" s="20">
        <v>39.518000000000001</v>
      </c>
      <c r="N20" s="20">
        <v>5042.549</v>
      </c>
    </row>
    <row r="21" spans="1:21" x14ac:dyDescent="0.25">
      <c r="A21" t="s">
        <v>51</v>
      </c>
    </row>
    <row r="22" spans="1:21" x14ac:dyDescent="0.25">
      <c r="A22" t="s">
        <v>35</v>
      </c>
      <c r="O22" s="23"/>
      <c r="U22" s="14"/>
    </row>
    <row r="23" spans="1:21" x14ac:dyDescent="0.25">
      <c r="A23" t="s">
        <v>49</v>
      </c>
      <c r="O23" s="25"/>
    </row>
  </sheetData>
  <pageMargins left="0.7" right="0.7" top="0.78740157499999996" bottom="0.78740157499999996" header="0.3" footer="0.3"/>
  <pageSetup paperSize="9"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
  <sheetViews>
    <sheetView topLeftCell="A7" workbookViewId="0"/>
  </sheetViews>
  <sheetFormatPr baseColWidth="10" defaultRowHeight="15" x14ac:dyDescent="0.25"/>
  <cols>
    <col min="11" max="11" width="11.42578125" customWidth="1"/>
  </cols>
  <sheetData>
    <row r="1" spans="1:33" s="12" customFormat="1" x14ac:dyDescent="0.25">
      <c r="A1" s="12" t="s">
        <v>126</v>
      </c>
    </row>
    <row r="2" spans="1:33" x14ac:dyDescent="0.25">
      <c r="A2" s="27" t="s">
        <v>1</v>
      </c>
      <c r="B2" t="s">
        <v>2</v>
      </c>
      <c r="C2" t="s">
        <v>13</v>
      </c>
      <c r="D2" t="s">
        <v>8</v>
      </c>
      <c r="E2" t="s">
        <v>9</v>
      </c>
      <c r="F2" t="s">
        <v>6</v>
      </c>
      <c r="G2" t="s">
        <v>7</v>
      </c>
      <c r="H2" t="s">
        <v>12</v>
      </c>
    </row>
    <row r="3" spans="1:33" x14ac:dyDescent="0.25">
      <c r="A3" s="55">
        <v>1981</v>
      </c>
      <c r="B3" s="8">
        <v>8.4</v>
      </c>
      <c r="C3" s="8"/>
      <c r="D3" s="9">
        <f t="shared" ref="D3:D8" si="0">F3/292.3*1000</f>
        <v>525.00285095221795</v>
      </c>
      <c r="F3" s="9">
        <v>153.45833333333331</v>
      </c>
      <c r="G3" s="8">
        <v>1.6013458801041622</v>
      </c>
    </row>
    <row r="4" spans="1:33" x14ac:dyDescent="0.25">
      <c r="A4" s="55">
        <v>1982</v>
      </c>
      <c r="B4" s="8" t="s">
        <v>0</v>
      </c>
      <c r="C4" s="8"/>
      <c r="D4" s="9">
        <f t="shared" si="0"/>
        <v>506.55719010149392</v>
      </c>
      <c r="E4" s="6"/>
      <c r="F4" s="9">
        <v>148.06666666666666</v>
      </c>
      <c r="G4" s="8">
        <v>-1.3094199594471547</v>
      </c>
      <c r="I4" s="1"/>
      <c r="J4" t="s">
        <v>14</v>
      </c>
    </row>
    <row r="5" spans="1:33" x14ac:dyDescent="0.25">
      <c r="A5" s="55">
        <v>1983</v>
      </c>
      <c r="B5" s="8">
        <v>8.39</v>
      </c>
      <c r="C5" s="8">
        <f>B5-B3</f>
        <v>-9.9999999999997868E-3</v>
      </c>
      <c r="D5" s="9">
        <f t="shared" si="0"/>
        <v>598.72847531075377</v>
      </c>
      <c r="E5" s="10">
        <f>D5/D3-1</f>
        <v>0.14042899809937559</v>
      </c>
      <c r="F5" s="9">
        <v>175.00833333333333</v>
      </c>
      <c r="G5" s="8">
        <v>0.63906297306155579</v>
      </c>
      <c r="H5" s="10">
        <f>(1+G4/100)*(1+G5/100)-1</f>
        <v>-6.7872500450830708E-3</v>
      </c>
      <c r="I5" s="1"/>
      <c r="J5" t="s">
        <v>17</v>
      </c>
      <c r="K5" t="s">
        <v>16</v>
      </c>
    </row>
    <row r="6" spans="1:33" x14ac:dyDescent="0.25">
      <c r="A6" s="55">
        <v>1984</v>
      </c>
      <c r="B6" s="8" t="s">
        <v>0</v>
      </c>
      <c r="C6" s="8"/>
      <c r="D6" s="9">
        <f t="shared" si="0"/>
        <v>641.1791538373817</v>
      </c>
      <c r="E6" s="10"/>
      <c r="F6" s="9">
        <v>187.41666666666666</v>
      </c>
      <c r="G6" s="8">
        <v>3.0084570877929764</v>
      </c>
      <c r="H6" s="10"/>
      <c r="I6" s="1"/>
      <c r="J6" s="7">
        <f>CORREL(C5:C32,H5:H32)</f>
        <v>0.42858408363555739</v>
      </c>
      <c r="K6" s="7">
        <f>CORREL(C17:C32,H17:H32)</f>
        <v>0.50581164117092037</v>
      </c>
    </row>
    <row r="7" spans="1:33" ht="17.25" x14ac:dyDescent="0.25">
      <c r="A7" s="55">
        <v>1985</v>
      </c>
      <c r="B7" s="8">
        <v>9.0500000000000007</v>
      </c>
      <c r="C7" s="8">
        <f>B7-B5</f>
        <v>0.66000000000000014</v>
      </c>
      <c r="D7" s="9">
        <f t="shared" si="0"/>
        <v>822.1576006386133</v>
      </c>
      <c r="E7" s="10">
        <f t="shared" ref="E7:E17" si="1">D7/D5-1</f>
        <v>0.37317270606161612</v>
      </c>
      <c r="F7" s="9">
        <v>240.31666666666669</v>
      </c>
      <c r="G7" s="8">
        <v>3.6736186563893938</v>
      </c>
      <c r="H7" s="10">
        <f>(1+G6/100)*(1+G7/100)-1</f>
        <v>6.7925949850290213E-2</v>
      </c>
      <c r="I7" s="1"/>
      <c r="N7" s="2"/>
    </row>
    <row r="8" spans="1:33" ht="17.25" x14ac:dyDescent="0.25">
      <c r="A8" s="55">
        <v>1986</v>
      </c>
      <c r="B8" s="8" t="s">
        <v>0</v>
      </c>
      <c r="C8" s="8"/>
      <c r="D8" s="9">
        <f t="shared" si="0"/>
        <v>1024.2330938533471</v>
      </c>
      <c r="E8" s="10"/>
      <c r="F8" s="9">
        <v>299.38333333333333</v>
      </c>
      <c r="G8" s="8">
        <v>1.8586248630884086</v>
      </c>
      <c r="H8" s="10"/>
      <c r="I8" s="1"/>
      <c r="J8" t="s">
        <v>15</v>
      </c>
      <c r="N8" s="11"/>
    </row>
    <row r="9" spans="1:33" ht="17.25" x14ac:dyDescent="0.25">
      <c r="A9" s="55">
        <v>1987</v>
      </c>
      <c r="B9" s="8">
        <v>9.07</v>
      </c>
      <c r="C9" s="8">
        <f>B9-B7</f>
        <v>1.9999999999999574E-2</v>
      </c>
      <c r="D9" s="9">
        <f>F9/292.3*1000</f>
        <v>1004.1481354772492</v>
      </c>
      <c r="E9" s="10">
        <f t="shared" si="1"/>
        <v>0.22135723697898579</v>
      </c>
      <c r="F9" s="9">
        <v>293.51249999999999</v>
      </c>
      <c r="G9" s="8">
        <v>1.5854668030929275</v>
      </c>
      <c r="H9" s="10">
        <f>(1+G8/100)*(1+G9/100)-1</f>
        <v>3.4735595463796454E-2</v>
      </c>
      <c r="J9" t="s">
        <v>17</v>
      </c>
      <c r="K9" t="s">
        <v>16</v>
      </c>
      <c r="N9" s="2"/>
      <c r="AF9" s="8"/>
      <c r="AG9" s="8"/>
    </row>
    <row r="10" spans="1:33" ht="17.25" x14ac:dyDescent="0.25">
      <c r="A10" s="55">
        <v>1988</v>
      </c>
      <c r="B10" s="8" t="s">
        <v>0</v>
      </c>
      <c r="C10" s="8"/>
      <c r="D10" s="5">
        <v>942.5</v>
      </c>
      <c r="E10" s="10"/>
      <c r="G10" s="8">
        <v>3.2776045185785421</v>
      </c>
      <c r="H10" s="10"/>
      <c r="I10" s="1"/>
      <c r="J10" s="7">
        <f>CORREL(C5:C32,E5:E32)</f>
        <v>0.22567313800277866</v>
      </c>
      <c r="K10" s="7">
        <f>CORREL(C17:C32,E17:E32)</f>
        <v>0.28966748866284797</v>
      </c>
      <c r="N10" s="11"/>
    </row>
    <row r="11" spans="1:33" ht="17.25" x14ac:dyDescent="0.25">
      <c r="A11" s="55">
        <v>1989</v>
      </c>
      <c r="B11" s="8">
        <v>9.2200000000000006</v>
      </c>
      <c r="C11" s="8">
        <f>B11-B9</f>
        <v>0.15000000000000036</v>
      </c>
      <c r="D11" s="5">
        <v>1137.9000000000001</v>
      </c>
      <c r="E11" s="10">
        <f t="shared" si="1"/>
        <v>0.13319933563306541</v>
      </c>
      <c r="G11" s="8">
        <v>4.3307862685112184</v>
      </c>
      <c r="H11" s="10">
        <f>(1+G10/100)*(1+G11/100)-1</f>
        <v>7.7503368335164691E-2</v>
      </c>
      <c r="I11" s="1"/>
      <c r="N11" s="2"/>
    </row>
    <row r="12" spans="1:33" ht="18" thickBot="1" x14ac:dyDescent="0.3">
      <c r="A12" s="55">
        <v>1990</v>
      </c>
      <c r="B12" s="8" t="s">
        <v>0</v>
      </c>
      <c r="C12" s="8"/>
      <c r="D12" s="5">
        <v>908.3</v>
      </c>
      <c r="E12" s="10"/>
      <c r="G12" s="8">
        <v>3.6746244394424252</v>
      </c>
      <c r="H12" s="10"/>
      <c r="I12" s="2"/>
      <c r="N12" s="11"/>
    </row>
    <row r="13" spans="1:33" ht="17.25" x14ac:dyDescent="0.25">
      <c r="A13" s="55">
        <v>1991</v>
      </c>
      <c r="B13" s="8">
        <v>8.6</v>
      </c>
      <c r="C13" s="8">
        <f>B13-B11</f>
        <v>-0.62000000000000099</v>
      </c>
      <c r="D13" s="5">
        <v>1052.8</v>
      </c>
      <c r="E13" s="10">
        <f t="shared" si="1"/>
        <v>-7.4786888127252094E-2</v>
      </c>
      <c r="G13" s="8">
        <v>-0.91580553793052388</v>
      </c>
      <c r="H13" s="10">
        <f>(1+G12/100)*(1+G13/100)-1</f>
        <v>2.7251664873973347E-2</v>
      </c>
      <c r="I13" s="3"/>
      <c r="N13" s="2"/>
    </row>
    <row r="14" spans="1:33" ht="18" thickBot="1" x14ac:dyDescent="0.3">
      <c r="A14" s="55">
        <v>1992</v>
      </c>
      <c r="B14" s="8" t="s">
        <v>0</v>
      </c>
      <c r="C14" s="8"/>
      <c r="D14" s="5">
        <v>1238.5999999999999</v>
      </c>
      <c r="E14" s="10"/>
      <c r="G14" s="8">
        <v>-4.3737003508368844E-2</v>
      </c>
      <c r="H14" s="10"/>
      <c r="I14" s="2"/>
      <c r="N14" s="11"/>
    </row>
    <row r="15" spans="1:33" ht="17.25" x14ac:dyDescent="0.25">
      <c r="A15" s="55">
        <v>1993</v>
      </c>
      <c r="B15" s="8">
        <v>8.42</v>
      </c>
      <c r="C15" s="8">
        <f>B15-B13</f>
        <v>-0.17999999999999972</v>
      </c>
      <c r="D15" s="5">
        <v>1867.8</v>
      </c>
      <c r="E15" s="10">
        <f t="shared" si="1"/>
        <v>0.77412613981762912</v>
      </c>
      <c r="G15" s="8">
        <v>-0.12598001561407557</v>
      </c>
      <c r="H15" s="10">
        <f>(1+G14/100)*(1+G15/100)-1</f>
        <v>-1.6966191923860618E-3</v>
      </c>
      <c r="I15" s="3"/>
      <c r="N15" s="2"/>
    </row>
    <row r="16" spans="1:33" ht="18" thickBot="1" x14ac:dyDescent="0.3">
      <c r="A16" s="55">
        <v>1994</v>
      </c>
      <c r="B16" s="8" t="s">
        <v>0</v>
      </c>
      <c r="C16" s="8"/>
      <c r="D16" s="5">
        <v>1725.5</v>
      </c>
      <c r="E16" s="10"/>
      <c r="G16" s="8">
        <v>1.269754995024087</v>
      </c>
      <c r="H16" s="10"/>
      <c r="I16" s="2"/>
      <c r="N16" s="11"/>
    </row>
    <row r="17" spans="1:14" ht="17.25" x14ac:dyDescent="0.25">
      <c r="A17" s="55">
        <v>1995</v>
      </c>
      <c r="B17" s="8">
        <v>8.48</v>
      </c>
      <c r="C17" s="8">
        <f>B17-B15</f>
        <v>6.0000000000000497E-2</v>
      </c>
      <c r="D17" s="5">
        <v>2123.4</v>
      </c>
      <c r="E17" s="10">
        <f t="shared" si="1"/>
        <v>0.13684548666880825</v>
      </c>
      <c r="G17" s="8">
        <v>0.48087207814285193</v>
      </c>
      <c r="H17" s="10">
        <f>G17/100</f>
        <v>4.8087207814285189E-3</v>
      </c>
      <c r="I17" s="3"/>
      <c r="N17" s="2"/>
    </row>
    <row r="18" spans="1:14" ht="17.25" x14ac:dyDescent="0.25">
      <c r="A18" s="55">
        <v>1996</v>
      </c>
      <c r="B18" s="8">
        <v>8.85</v>
      </c>
      <c r="C18" s="8">
        <f t="shared" ref="C18:C32" si="2">B18-B17</f>
        <v>0.36999999999999922</v>
      </c>
      <c r="D18" s="5">
        <v>2511.9</v>
      </c>
      <c r="E18" s="10">
        <f t="shared" ref="E18:E32" si="3">D18/D17-1</f>
        <v>0.18296128849957616</v>
      </c>
      <c r="G18" s="8">
        <v>0.60108259973155498</v>
      </c>
      <c r="H18" s="10">
        <f t="shared" ref="H18:H32" si="4">G18/100</f>
        <v>6.0108259973155496E-3</v>
      </c>
      <c r="I18" s="2"/>
      <c r="N18" s="11"/>
    </row>
    <row r="19" spans="1:14" ht="17.25" x14ac:dyDescent="0.25">
      <c r="A19" s="55">
        <v>1997</v>
      </c>
      <c r="B19" s="8">
        <v>8.86</v>
      </c>
      <c r="C19" s="8">
        <f t="shared" si="2"/>
        <v>9.9999999999997868E-3</v>
      </c>
      <c r="D19" s="5">
        <v>3898.2</v>
      </c>
      <c r="E19" s="10">
        <f t="shared" si="3"/>
        <v>0.55189298937059594</v>
      </c>
      <c r="G19" s="8">
        <v>2.3120454808484965</v>
      </c>
      <c r="H19" s="10">
        <f t="shared" si="4"/>
        <v>2.3120454808484965E-2</v>
      </c>
      <c r="N19" s="11"/>
    </row>
    <row r="20" spans="1:14" ht="18" thickBot="1" x14ac:dyDescent="0.3">
      <c r="A20" s="55">
        <v>1998</v>
      </c>
      <c r="B20" s="8">
        <v>9.1</v>
      </c>
      <c r="C20" s="8">
        <f t="shared" si="2"/>
        <v>0.24000000000000021</v>
      </c>
      <c r="D20" s="5">
        <v>4497.1000000000004</v>
      </c>
      <c r="E20" s="10">
        <f t="shared" si="3"/>
        <v>0.15363501103073229</v>
      </c>
      <c r="G20" s="8">
        <v>2.9447852477480865</v>
      </c>
      <c r="H20" s="10">
        <f t="shared" si="4"/>
        <v>2.9447852477480864E-2</v>
      </c>
      <c r="I20" s="2"/>
      <c r="N20" s="11"/>
    </row>
    <row r="21" spans="1:14" ht="17.25" x14ac:dyDescent="0.25">
      <c r="A21" s="55">
        <v>1999</v>
      </c>
      <c r="B21" s="8">
        <v>10.25</v>
      </c>
      <c r="C21" s="8">
        <f t="shared" si="2"/>
        <v>1.1500000000000004</v>
      </c>
      <c r="D21" s="5">
        <v>5022.8999999999996</v>
      </c>
      <c r="E21" s="10">
        <f t="shared" si="3"/>
        <v>0.11691979275533093</v>
      </c>
      <c r="G21" s="8">
        <v>1.6433671501484497</v>
      </c>
      <c r="H21" s="10">
        <f t="shared" si="4"/>
        <v>1.6433671501484497E-2</v>
      </c>
      <c r="I21" s="3"/>
      <c r="N21" s="11"/>
    </row>
    <row r="22" spans="1:14" ht="17.25" x14ac:dyDescent="0.25">
      <c r="A22" s="55">
        <v>2000</v>
      </c>
      <c r="B22" s="8">
        <v>10.42</v>
      </c>
      <c r="C22" s="8">
        <f t="shared" si="2"/>
        <v>0.16999999999999993</v>
      </c>
      <c r="D22" s="5">
        <v>5621.1</v>
      </c>
      <c r="E22" s="10">
        <f t="shared" si="3"/>
        <v>0.11909454697485522</v>
      </c>
      <c r="G22" s="8">
        <v>3.946098963443319</v>
      </c>
      <c r="H22" s="10">
        <f t="shared" si="4"/>
        <v>3.9460989634433188E-2</v>
      </c>
      <c r="I22" s="2"/>
      <c r="N22" s="11"/>
    </row>
    <row r="23" spans="1:14" ht="17.25" x14ac:dyDescent="0.25">
      <c r="A23" s="55">
        <v>2001</v>
      </c>
      <c r="B23" s="8">
        <v>10.06</v>
      </c>
      <c r="C23" s="8">
        <f t="shared" si="2"/>
        <v>-0.35999999999999943</v>
      </c>
      <c r="D23" s="5">
        <v>4682.8999999999996</v>
      </c>
      <c r="E23" s="10">
        <f t="shared" si="3"/>
        <v>-0.16690683318211752</v>
      </c>
      <c r="G23" s="8">
        <v>1.4465991887022938</v>
      </c>
      <c r="H23" s="10">
        <f t="shared" si="4"/>
        <v>1.4465991887022937E-2</v>
      </c>
      <c r="I23" s="4"/>
      <c r="N23" s="11"/>
    </row>
    <row r="24" spans="1:14" ht="17.25" x14ac:dyDescent="0.25">
      <c r="A24" s="55">
        <v>2002</v>
      </c>
      <c r="B24" s="8">
        <v>9.33</v>
      </c>
      <c r="C24" s="8">
        <f t="shared" si="2"/>
        <v>-0.73000000000000043</v>
      </c>
      <c r="D24" s="5">
        <v>3245.5</v>
      </c>
      <c r="E24" s="10">
        <f t="shared" si="3"/>
        <v>-0.30694655021461059</v>
      </c>
      <c r="G24" s="8">
        <v>0.1434005213803573</v>
      </c>
      <c r="H24" s="10">
        <f t="shared" si="4"/>
        <v>1.4340052138035731E-3</v>
      </c>
      <c r="I24" s="4"/>
      <c r="N24" s="11"/>
    </row>
    <row r="25" spans="1:14" ht="18" thickBot="1" x14ac:dyDescent="0.3">
      <c r="A25" s="55">
        <v>2003</v>
      </c>
      <c r="B25" s="8">
        <v>9.3800000000000008</v>
      </c>
      <c r="C25" s="8">
        <f t="shared" si="2"/>
        <v>5.0000000000000711E-2</v>
      </c>
      <c r="D25" s="5">
        <v>3961.6</v>
      </c>
      <c r="E25" s="10">
        <f t="shared" si="3"/>
        <v>0.22064396857186863</v>
      </c>
      <c r="G25" s="8">
        <v>4.9702557665625591E-2</v>
      </c>
      <c r="H25" s="10">
        <f t="shared" si="4"/>
        <v>4.9702557665625596E-4</v>
      </c>
      <c r="I25" s="2"/>
      <c r="N25" s="11"/>
    </row>
    <row r="26" spans="1:14" ht="17.25" x14ac:dyDescent="0.25">
      <c r="A26" s="55">
        <v>2004</v>
      </c>
      <c r="B26" s="8">
        <v>9.64</v>
      </c>
      <c r="C26" s="8">
        <f t="shared" si="2"/>
        <v>0.25999999999999979</v>
      </c>
      <c r="D26" s="5">
        <v>4234.6000000000004</v>
      </c>
      <c r="E26" s="10">
        <f t="shared" si="3"/>
        <v>6.8911550888530071E-2</v>
      </c>
      <c r="G26" s="8">
        <v>2.842956340484875</v>
      </c>
      <c r="H26" s="10">
        <f t="shared" si="4"/>
        <v>2.842956340484875E-2</v>
      </c>
      <c r="I26" s="3"/>
      <c r="N26" s="11"/>
    </row>
    <row r="27" spans="1:14" ht="18" thickBot="1" x14ac:dyDescent="0.3">
      <c r="A27" s="55">
        <v>2005</v>
      </c>
      <c r="B27" s="8">
        <v>9.84</v>
      </c>
      <c r="C27" s="8">
        <f t="shared" si="2"/>
        <v>0.19999999999999929</v>
      </c>
      <c r="D27" s="5">
        <v>5742.41</v>
      </c>
      <c r="E27" s="10">
        <f t="shared" si="3"/>
        <v>0.35606905020545021</v>
      </c>
      <c r="G27" s="8">
        <v>3.0382956500693012</v>
      </c>
      <c r="H27" s="10">
        <f t="shared" si="4"/>
        <v>3.0382956500693014E-2</v>
      </c>
      <c r="I27" s="2"/>
      <c r="N27" s="11"/>
    </row>
    <row r="28" spans="1:14" ht="17.25" x14ac:dyDescent="0.25">
      <c r="A28" s="55">
        <v>2006</v>
      </c>
      <c r="B28" s="8">
        <v>10.3</v>
      </c>
      <c r="C28" s="8">
        <f t="shared" si="2"/>
        <v>0.46000000000000085</v>
      </c>
      <c r="D28" s="5">
        <v>6929.18</v>
      </c>
      <c r="E28" s="10">
        <f t="shared" si="3"/>
        <v>0.20666758381933725</v>
      </c>
      <c r="G28" s="8">
        <v>4.0127820055594299</v>
      </c>
      <c r="H28" s="10">
        <f t="shared" si="4"/>
        <v>4.0127820055594302E-2</v>
      </c>
      <c r="I28" s="3"/>
      <c r="N28" s="11"/>
    </row>
    <row r="29" spans="1:14" ht="18" thickBot="1" x14ac:dyDescent="0.3">
      <c r="A29" s="55">
        <v>2007</v>
      </c>
      <c r="B29" s="8">
        <v>10.91</v>
      </c>
      <c r="C29" s="8">
        <f t="shared" si="2"/>
        <v>0.60999999999999943</v>
      </c>
      <c r="D29" s="5">
        <v>6925.44</v>
      </c>
      <c r="E29" s="10">
        <f t="shared" si="3"/>
        <v>-5.3974640577969524E-4</v>
      </c>
      <c r="G29" s="8">
        <v>4.1403543738210828</v>
      </c>
      <c r="H29" s="10">
        <f t="shared" si="4"/>
        <v>4.1403543738210827E-2</v>
      </c>
      <c r="I29" s="2"/>
      <c r="N29" s="11"/>
    </row>
    <row r="30" spans="1:14" ht="17.25" x14ac:dyDescent="0.25">
      <c r="A30" s="55">
        <v>2008</v>
      </c>
      <c r="B30" s="8">
        <v>10.96</v>
      </c>
      <c r="C30" s="8">
        <f t="shared" si="2"/>
        <v>5.0000000000000711E-2</v>
      </c>
      <c r="D30" s="5">
        <v>4567.57</v>
      </c>
      <c r="E30" s="10">
        <f t="shared" si="3"/>
        <v>-0.34046501016541908</v>
      </c>
      <c r="G30" s="8">
        <v>2.2772311270888821</v>
      </c>
      <c r="H30" s="10">
        <f t="shared" si="4"/>
        <v>2.2772311270888822E-2</v>
      </c>
      <c r="I30" s="3"/>
      <c r="N30" s="11"/>
    </row>
    <row r="31" spans="1:14" ht="18" thickBot="1" x14ac:dyDescent="0.3">
      <c r="A31" s="55">
        <v>2009</v>
      </c>
      <c r="B31" s="8">
        <v>10.54</v>
      </c>
      <c r="C31" s="8">
        <f t="shared" si="2"/>
        <v>-0.42000000000000171</v>
      </c>
      <c r="D31" s="5">
        <v>5626.4</v>
      </c>
      <c r="E31" s="10">
        <f t="shared" si="3"/>
        <v>0.23181472861937524</v>
      </c>
      <c r="G31" s="8">
        <v>-2.1296048261983032</v>
      </c>
      <c r="H31" s="10">
        <f t="shared" si="4"/>
        <v>-2.129604826198303E-2</v>
      </c>
      <c r="I31" s="2"/>
      <c r="N31" s="11"/>
    </row>
    <row r="32" spans="1:14" ht="17.25" x14ac:dyDescent="0.25">
      <c r="A32" s="55">
        <v>2010</v>
      </c>
      <c r="B32" s="8">
        <v>10.63</v>
      </c>
      <c r="C32" s="8">
        <f t="shared" si="2"/>
        <v>9.0000000000001634E-2</v>
      </c>
      <c r="D32" s="5">
        <v>5790.62</v>
      </c>
      <c r="E32" s="10">
        <f t="shared" si="3"/>
        <v>2.9187402246551919E-2</v>
      </c>
      <c r="G32" s="8">
        <v>2.9538065840629741</v>
      </c>
      <c r="H32" s="10">
        <f t="shared" si="4"/>
        <v>2.9538065840629742E-2</v>
      </c>
      <c r="I32" s="3"/>
      <c r="N32" s="11"/>
    </row>
    <row r="34" spans="1:6" x14ac:dyDescent="0.25">
      <c r="A34" t="s">
        <v>3</v>
      </c>
    </row>
    <row r="35" spans="1:6" x14ac:dyDescent="0.25">
      <c r="A35" t="s">
        <v>5</v>
      </c>
      <c r="F35" t="s">
        <v>4</v>
      </c>
    </row>
    <row r="36" spans="1:6" x14ac:dyDescent="0.25">
      <c r="A36" t="s">
        <v>11</v>
      </c>
    </row>
    <row r="37" spans="1:6" x14ac:dyDescent="0.25">
      <c r="A37" t="s">
        <v>10</v>
      </c>
    </row>
  </sheetData>
  <pageMargins left="0.7" right="0.7" top="0.78740157499999996" bottom="0.78740157499999996" header="0.3" footer="0.3"/>
  <pageSetup paperSize="9" orientation="portrait"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workbookViewId="0"/>
  </sheetViews>
  <sheetFormatPr baseColWidth="10" defaultColWidth="10.85546875" defaultRowHeight="15" x14ac:dyDescent="0.25"/>
  <cols>
    <col min="1" max="16384" width="10.85546875" style="29"/>
  </cols>
  <sheetData>
    <row r="1" spans="1:31" s="54" customFormat="1" x14ac:dyDescent="0.25">
      <c r="A1" s="54" t="s">
        <v>127</v>
      </c>
    </row>
    <row r="2" spans="1:31" x14ac:dyDescent="0.25">
      <c r="A2" s="28"/>
      <c r="B2" s="58" t="s">
        <v>74</v>
      </c>
      <c r="C2" s="58"/>
      <c r="D2" s="58"/>
      <c r="E2" s="58" t="s">
        <v>75</v>
      </c>
      <c r="F2" s="58"/>
      <c r="G2" s="58"/>
      <c r="H2" s="58" t="s">
        <v>76</v>
      </c>
      <c r="I2" s="58"/>
      <c r="J2" s="58"/>
      <c r="K2" s="58" t="s">
        <v>77</v>
      </c>
      <c r="L2" s="58"/>
      <c r="M2" s="58"/>
      <c r="N2" s="58" t="s">
        <v>78</v>
      </c>
      <c r="O2" s="58"/>
      <c r="P2" s="58"/>
      <c r="Q2" s="58" t="s">
        <v>79</v>
      </c>
      <c r="R2" s="58"/>
      <c r="S2" s="58"/>
      <c r="T2" s="58" t="s">
        <v>80</v>
      </c>
      <c r="U2" s="58"/>
      <c r="V2" s="58"/>
      <c r="W2" s="58" t="s">
        <v>81</v>
      </c>
      <c r="X2" s="58"/>
      <c r="Y2" s="58"/>
      <c r="Z2" s="58" t="s">
        <v>82</v>
      </c>
      <c r="AA2" s="58"/>
      <c r="AB2" s="58"/>
      <c r="AC2" s="59" t="s">
        <v>83</v>
      </c>
      <c r="AD2" s="59"/>
      <c r="AE2" s="59"/>
    </row>
    <row r="3" spans="1:31" x14ac:dyDescent="0.25">
      <c r="A3" s="30" t="s">
        <v>63</v>
      </c>
      <c r="B3" s="31" t="s">
        <v>84</v>
      </c>
      <c r="C3" s="30" t="s">
        <v>85</v>
      </c>
      <c r="D3" s="30" t="s">
        <v>86</v>
      </c>
      <c r="E3" s="31" t="s">
        <v>84</v>
      </c>
      <c r="F3" s="30" t="s">
        <v>85</v>
      </c>
      <c r="G3" s="30" t="s">
        <v>86</v>
      </c>
      <c r="H3" s="31" t="s">
        <v>84</v>
      </c>
      <c r="I3" s="30" t="s">
        <v>85</v>
      </c>
      <c r="J3" s="30" t="s">
        <v>86</v>
      </c>
      <c r="K3" s="31" t="s">
        <v>84</v>
      </c>
      <c r="L3" s="30" t="s">
        <v>85</v>
      </c>
      <c r="M3" s="30" t="s">
        <v>86</v>
      </c>
      <c r="N3" s="31" t="s">
        <v>84</v>
      </c>
      <c r="O3" s="30" t="s">
        <v>85</v>
      </c>
      <c r="P3" s="30" t="s">
        <v>86</v>
      </c>
      <c r="Q3" s="31" t="s">
        <v>84</v>
      </c>
      <c r="R3" s="30" t="s">
        <v>85</v>
      </c>
      <c r="S3" s="30" t="s">
        <v>86</v>
      </c>
      <c r="T3" s="31" t="s">
        <v>84</v>
      </c>
      <c r="U3" s="30" t="s">
        <v>85</v>
      </c>
      <c r="V3" s="30" t="s">
        <v>86</v>
      </c>
      <c r="W3" s="31" t="s">
        <v>84</v>
      </c>
      <c r="X3" s="30" t="s">
        <v>85</v>
      </c>
      <c r="Y3" s="30" t="s">
        <v>86</v>
      </c>
      <c r="Z3" s="31" t="s">
        <v>84</v>
      </c>
      <c r="AA3" s="30" t="s">
        <v>85</v>
      </c>
      <c r="AB3" s="30" t="s">
        <v>86</v>
      </c>
      <c r="AC3" s="31" t="s">
        <v>84</v>
      </c>
      <c r="AD3" s="30" t="s">
        <v>85</v>
      </c>
      <c r="AE3" s="30" t="s">
        <v>86</v>
      </c>
    </row>
    <row r="4" spans="1:31" x14ac:dyDescent="0.25">
      <c r="A4" s="32">
        <v>1971</v>
      </c>
      <c r="B4" s="33">
        <v>0.16241818808129521</v>
      </c>
      <c r="C4" s="33">
        <v>1.5280399586634514</v>
      </c>
      <c r="D4" s="33">
        <v>1.6904581467447468</v>
      </c>
      <c r="E4" s="33">
        <v>5.0598997205955523E-2</v>
      </c>
      <c r="F4" s="33">
        <v>1.3155356527729933</v>
      </c>
      <c r="G4" s="33">
        <v>1.3661346499789491</v>
      </c>
      <c r="H4" s="33">
        <v>0.78952807440578721</v>
      </c>
      <c r="I4" s="33">
        <v>2.7785049948329315</v>
      </c>
      <c r="J4" s="33">
        <v>3.5680330692387185</v>
      </c>
      <c r="K4" s="33">
        <v>1.4381674130210127</v>
      </c>
      <c r="L4" s="33">
        <v>3.6531174646916984</v>
      </c>
      <c r="M4" s="33">
        <v>5.0912848777127113</v>
      </c>
      <c r="N4" s="33">
        <v>1.756803306923872</v>
      </c>
      <c r="O4" s="33">
        <v>5.2910781949707202</v>
      </c>
      <c r="P4" s="33">
        <v>7.0478815018945911</v>
      </c>
      <c r="Q4" s="33">
        <v>2.1443334481570786</v>
      </c>
      <c r="R4" s="33">
        <v>5.6407165001722355</v>
      </c>
      <c r="S4" s="33">
        <v>7.7850499483293145</v>
      </c>
      <c r="T4" s="33">
        <v>2.3730240747119837</v>
      </c>
      <c r="U4" s="33">
        <v>9.377272553297356</v>
      </c>
      <c r="V4" s="33">
        <v>11.750296628009339</v>
      </c>
      <c r="W4" s="33">
        <v>3.7891836031691351</v>
      </c>
      <c r="X4" s="33">
        <v>15.501205649328281</v>
      </c>
      <c r="Y4" s="33">
        <v>19.290389252497416</v>
      </c>
      <c r="Z4" s="34">
        <v>2.5146400275576988</v>
      </c>
      <c r="AA4" s="34">
        <v>9.9896658629004502</v>
      </c>
      <c r="AB4" s="34">
        <v>12.504305890458149</v>
      </c>
      <c r="AC4" s="35">
        <v>4715</v>
      </c>
      <c r="AD4" s="35">
        <v>44359</v>
      </c>
      <c r="AE4" s="35">
        <v>49074</v>
      </c>
    </row>
    <row r="5" spans="1:31" x14ac:dyDescent="0.25">
      <c r="A5" s="32">
        <v>1973</v>
      </c>
      <c r="B5" s="33">
        <v>0.15013531799729365</v>
      </c>
      <c r="C5" s="33">
        <v>1.868572395128552</v>
      </c>
      <c r="D5" s="33">
        <v>2.0187077131258455</v>
      </c>
      <c r="E5" s="33">
        <v>7.1342655239813563E-2</v>
      </c>
      <c r="F5" s="33">
        <v>1.7019245226281763</v>
      </c>
      <c r="G5" s="33">
        <v>1.7732671778679896</v>
      </c>
      <c r="H5" s="33">
        <v>0.55751014884979699</v>
      </c>
      <c r="I5" s="33">
        <v>2.6623815967523683</v>
      </c>
      <c r="J5" s="33">
        <v>3.219891745602165</v>
      </c>
      <c r="K5" s="33">
        <v>1.0284167794316643</v>
      </c>
      <c r="L5" s="33">
        <v>3.4523004059539919</v>
      </c>
      <c r="M5" s="33">
        <v>4.4807171853856564</v>
      </c>
      <c r="N5" s="33">
        <v>1.4952638700947227</v>
      </c>
      <c r="O5" s="33">
        <v>5.7442489851150205</v>
      </c>
      <c r="P5" s="33">
        <v>7.2395128552097425</v>
      </c>
      <c r="Q5" s="33">
        <v>1.6914749661705006</v>
      </c>
      <c r="R5" s="33">
        <v>6.5713802435723947</v>
      </c>
      <c r="S5" s="33">
        <v>8.2628552097428969</v>
      </c>
      <c r="T5" s="33">
        <v>2.5184182829649675</v>
      </c>
      <c r="U5" s="33">
        <v>10.224026462186137</v>
      </c>
      <c r="V5" s="33">
        <v>12.742444745151104</v>
      </c>
      <c r="W5" s="33">
        <v>4.0595399188092012</v>
      </c>
      <c r="X5" s="33">
        <v>14.208389715832205</v>
      </c>
      <c r="Y5" s="33">
        <v>18.267929634641405</v>
      </c>
      <c r="Z5" s="34">
        <v>2.6725304465493909</v>
      </c>
      <c r="AA5" s="34">
        <v>10.622462787550745</v>
      </c>
      <c r="AB5" s="34">
        <v>13.294993234100136</v>
      </c>
      <c r="AC5" s="35">
        <v>4438</v>
      </c>
      <c r="AD5" s="35">
        <v>55235</v>
      </c>
      <c r="AE5" s="35">
        <v>59673</v>
      </c>
    </row>
    <row r="6" spans="1:31" x14ac:dyDescent="0.25">
      <c r="A6" s="32">
        <v>1975</v>
      </c>
      <c r="B6" s="33">
        <v>0.13932845744680852</v>
      </c>
      <c r="C6" s="33">
        <v>2.1592420212765959</v>
      </c>
      <c r="D6" s="33">
        <v>2.2985704787234043</v>
      </c>
      <c r="E6" s="33">
        <v>6.4346926713947997E-2</v>
      </c>
      <c r="F6" s="33">
        <v>2.0015883569739952</v>
      </c>
      <c r="G6" s="33">
        <v>2.0659352836879434</v>
      </c>
      <c r="H6" s="33">
        <v>0.45212765957446804</v>
      </c>
      <c r="I6" s="33">
        <v>2.427526595744681</v>
      </c>
      <c r="J6" s="33">
        <v>2.8796542553191489</v>
      </c>
      <c r="K6" s="33">
        <v>0.99152260638297873</v>
      </c>
      <c r="L6" s="33">
        <v>3.9502992021276597</v>
      </c>
      <c r="M6" s="33">
        <v>4.941821808510638</v>
      </c>
      <c r="N6" s="33">
        <v>1.7619680851063828</v>
      </c>
      <c r="O6" s="33">
        <v>6.934840425531914</v>
      </c>
      <c r="P6" s="33">
        <v>8.6968085106382969</v>
      </c>
      <c r="Q6" s="33">
        <v>1.8533909574468086</v>
      </c>
      <c r="R6" s="33">
        <v>7.9205452127659575</v>
      </c>
      <c r="S6" s="33">
        <v>9.7739361702127656</v>
      </c>
      <c r="T6" s="33">
        <v>2.770390070921986</v>
      </c>
      <c r="U6" s="33">
        <v>11.303191489361703</v>
      </c>
      <c r="V6" s="33">
        <v>14.073581560283689</v>
      </c>
      <c r="W6" s="33">
        <v>4.3218085106382977</v>
      </c>
      <c r="X6" s="33">
        <v>18.949468085106382</v>
      </c>
      <c r="Y6" s="33">
        <v>23.271276595744681</v>
      </c>
      <c r="Z6" s="34">
        <v>2.9255319148936172</v>
      </c>
      <c r="AA6" s="34">
        <v>12.06781914893617</v>
      </c>
      <c r="AB6" s="34">
        <v>14.993351063829788</v>
      </c>
      <c r="AC6" s="35">
        <v>4191</v>
      </c>
      <c r="AD6" s="35">
        <v>64950</v>
      </c>
      <c r="AE6" s="35">
        <v>69141</v>
      </c>
    </row>
    <row r="7" spans="1:31" x14ac:dyDescent="0.25">
      <c r="A7" s="32">
        <v>1977</v>
      </c>
      <c r="B7" s="33">
        <v>0.12698464554067299</v>
      </c>
      <c r="C7" s="33">
        <v>2.3015027768703038</v>
      </c>
      <c r="D7" s="33">
        <v>2.4284874224109765</v>
      </c>
      <c r="E7" s="33">
        <v>5.7679044611419657E-2</v>
      </c>
      <c r="F7" s="33">
        <v>2.160477694290174</v>
      </c>
      <c r="G7" s="33">
        <v>2.2181567389015937</v>
      </c>
      <c r="H7" s="33">
        <v>0.41881737994119567</v>
      </c>
      <c r="I7" s="33">
        <v>2.4077098987259062</v>
      </c>
      <c r="J7" s="33">
        <v>2.8265272786671023</v>
      </c>
      <c r="K7" s="33">
        <v>0.89431558314276383</v>
      </c>
      <c r="L7" s="33">
        <v>3.9235543939888928</v>
      </c>
      <c r="M7" s="33">
        <v>4.8178699771316564</v>
      </c>
      <c r="N7" s="33">
        <v>1.6595883698137863</v>
      </c>
      <c r="O7" s="33">
        <v>6.9127736033975831</v>
      </c>
      <c r="P7" s="33">
        <v>8.5723619732113683</v>
      </c>
      <c r="Q7" s="33">
        <v>1.8294674942829141</v>
      </c>
      <c r="R7" s="33">
        <v>8.1999346618752043</v>
      </c>
      <c r="S7" s="33">
        <v>10.029402156158119</v>
      </c>
      <c r="T7" s="33">
        <v>2.7224218664924313</v>
      </c>
      <c r="U7" s="33">
        <v>11.651965588587606</v>
      </c>
      <c r="V7" s="33">
        <v>14.37438745508004</v>
      </c>
      <c r="W7" s="33">
        <v>2.9402156158118262</v>
      </c>
      <c r="X7" s="33">
        <v>18.948056190787323</v>
      </c>
      <c r="Y7" s="33">
        <v>21.88827180659915</v>
      </c>
      <c r="Z7" s="34">
        <v>2.7442012414243711</v>
      </c>
      <c r="AA7" s="34">
        <v>12.381574648807581</v>
      </c>
      <c r="AB7" s="34">
        <v>15.125775890231951</v>
      </c>
      <c r="AC7" s="35">
        <v>3887</v>
      </c>
      <c r="AD7" s="35">
        <v>70449</v>
      </c>
      <c r="AE7" s="35">
        <v>74336</v>
      </c>
    </row>
    <row r="8" spans="1:31" x14ac:dyDescent="0.25">
      <c r="A8" s="32">
        <v>1979</v>
      </c>
      <c r="B8" s="33">
        <v>0.12906229929351315</v>
      </c>
      <c r="C8" s="33">
        <v>2.6246307000642259</v>
      </c>
      <c r="D8" s="33">
        <v>2.7536929993577393</v>
      </c>
      <c r="E8" s="33">
        <v>6.22279312067366E-2</v>
      </c>
      <c r="F8" s="33">
        <v>2.4906872190109186</v>
      </c>
      <c r="G8" s="33">
        <v>2.5529151502176548</v>
      </c>
      <c r="H8" s="33">
        <v>0.35003211303789339</v>
      </c>
      <c r="I8" s="33">
        <v>2.4315992292870905</v>
      </c>
      <c r="J8" s="33">
        <v>2.7816313423249839</v>
      </c>
      <c r="K8" s="33">
        <v>0.96098265895953761</v>
      </c>
      <c r="L8" s="33">
        <v>4.4179511881824025</v>
      </c>
      <c r="M8" s="33">
        <v>5.3789338471419397</v>
      </c>
      <c r="N8" s="33">
        <v>1.3872832369942196</v>
      </c>
      <c r="O8" s="33">
        <v>7.231856133590238</v>
      </c>
      <c r="P8" s="33">
        <v>8.6191393705844561</v>
      </c>
      <c r="Q8" s="33">
        <v>1.8224149004495827</v>
      </c>
      <c r="R8" s="33">
        <v>8.6303789338471422</v>
      </c>
      <c r="S8" s="33">
        <v>10.452793834296724</v>
      </c>
      <c r="T8" s="33">
        <v>2.9615357168343683</v>
      </c>
      <c r="U8" s="33">
        <v>13.202026689502604</v>
      </c>
      <c r="V8" s="33">
        <v>16.163562406336972</v>
      </c>
      <c r="W8" s="33">
        <v>2.2479126525369297</v>
      </c>
      <c r="X8" s="33">
        <v>21.515735388567755</v>
      </c>
      <c r="Y8" s="33">
        <v>23.763648041104684</v>
      </c>
      <c r="Z8" s="34">
        <v>2.8901734104046244</v>
      </c>
      <c r="AA8" s="34">
        <v>14.033397559409121</v>
      </c>
      <c r="AB8" s="34">
        <v>16.923570969813746</v>
      </c>
      <c r="AC8" s="35">
        <v>4019</v>
      </c>
      <c r="AD8" s="35">
        <v>81731</v>
      </c>
      <c r="AE8" s="35">
        <v>85750</v>
      </c>
    </row>
    <row r="9" spans="1:31" x14ac:dyDescent="0.25">
      <c r="A9" s="32">
        <v>1981</v>
      </c>
      <c r="B9" s="33">
        <v>0.12729693254744237</v>
      </c>
      <c r="C9" s="33">
        <v>2.9721217195741256</v>
      </c>
      <c r="D9" s="33">
        <v>3.0994186521215683</v>
      </c>
      <c r="E9" s="33">
        <v>5.6884656446273295E-2</v>
      </c>
      <c r="F9" s="33">
        <v>2.8504326894263436</v>
      </c>
      <c r="G9" s="33">
        <v>2.9073173458726171</v>
      </c>
      <c r="H9" s="33">
        <v>0.43441102786125707</v>
      </c>
      <c r="I9" s="33">
        <v>2.5617010249641323</v>
      </c>
      <c r="J9" s="33">
        <v>2.9961120528253895</v>
      </c>
      <c r="K9" s="33">
        <v>0.89451472536742882</v>
      </c>
      <c r="L9" s="33">
        <v>4.6506884532098658</v>
      </c>
      <c r="M9" s="33">
        <v>5.5452031785772942</v>
      </c>
      <c r="N9" s="33">
        <v>1.5573225527101668</v>
      </c>
      <c r="O9" s="33">
        <v>7.5659395273368428</v>
      </c>
      <c r="P9" s="33">
        <v>9.1232620800470094</v>
      </c>
      <c r="Q9" s="33">
        <v>1.9939403129335638</v>
      </c>
      <c r="R9" s="33">
        <v>9.9697015646678189</v>
      </c>
      <c r="S9" s="33">
        <v>11.963641877601383</v>
      </c>
      <c r="T9" s="33">
        <v>2.8722548205630605</v>
      </c>
      <c r="U9" s="33">
        <v>13.7307791422039</v>
      </c>
      <c r="V9" s="33">
        <v>16.603033962766961</v>
      </c>
      <c r="W9" s="33">
        <v>2.5219798424456146</v>
      </c>
      <c r="X9" s="33">
        <v>25.535045904761844</v>
      </c>
      <c r="Y9" s="33">
        <v>28.057025747207458</v>
      </c>
      <c r="Z9" s="34">
        <v>2.8372273227513163</v>
      </c>
      <c r="AA9" s="34">
        <v>14.911205818459697</v>
      </c>
      <c r="AB9" s="34">
        <v>17.748433141211013</v>
      </c>
      <c r="AC9" s="35">
        <v>4038</v>
      </c>
      <c r="AD9" s="35">
        <v>94279</v>
      </c>
      <c r="AE9" s="35">
        <v>98317</v>
      </c>
    </row>
    <row r="10" spans="1:31" x14ac:dyDescent="0.25">
      <c r="A10" s="32">
        <v>1983</v>
      </c>
      <c r="B10" s="33">
        <v>0.12004126016701738</v>
      </c>
      <c r="C10" s="33">
        <v>2.895157744252447</v>
      </c>
      <c r="D10" s="33">
        <v>3.0151990044194643</v>
      </c>
      <c r="E10" s="33">
        <v>5.3310872048569199E-2</v>
      </c>
      <c r="F10" s="33">
        <v>2.8024247062980638</v>
      </c>
      <c r="G10" s="33">
        <v>2.8557355783466334</v>
      </c>
      <c r="H10" s="33">
        <v>0.26805032859114764</v>
      </c>
      <c r="I10" s="33">
        <v>2.3194309254804786</v>
      </c>
      <c r="J10" s="33">
        <v>2.5874812540716259</v>
      </c>
      <c r="K10" s="33">
        <v>1.0235483437641426</v>
      </c>
      <c r="L10" s="33">
        <v>4.2418352512497535</v>
      </c>
      <c r="M10" s="33">
        <v>5.2653835950138967</v>
      </c>
      <c r="N10" s="33">
        <v>1.5483272404922457</v>
      </c>
      <c r="O10" s="33">
        <v>6.8420152366416227</v>
      </c>
      <c r="P10" s="33">
        <v>8.3903424771338688</v>
      </c>
      <c r="Q10" s="33">
        <v>1.7977119640102655</v>
      </c>
      <c r="R10" s="33">
        <v>9.6540957386423614</v>
      </c>
      <c r="S10" s="33">
        <v>11.451807702652626</v>
      </c>
      <c r="T10" s="33">
        <v>2.7879410127440525</v>
      </c>
      <c r="U10" s="33">
        <v>13.259719450855858</v>
      </c>
      <c r="V10" s="33">
        <v>16.047660463599911</v>
      </c>
      <c r="W10" s="33">
        <v>2.7539417321008322</v>
      </c>
      <c r="X10" s="33">
        <v>25.703456166274435</v>
      </c>
      <c r="Y10" s="33">
        <v>28.457397898375262</v>
      </c>
      <c r="Z10" s="34">
        <v>2.7845410846797303</v>
      </c>
      <c r="AA10" s="34">
        <v>14.504093122397716</v>
      </c>
      <c r="AB10" s="34">
        <v>17.288634207077447</v>
      </c>
      <c r="AC10" s="35">
        <v>3923</v>
      </c>
      <c r="AD10" s="35">
        <v>94615</v>
      </c>
      <c r="AE10" s="35">
        <v>98538</v>
      </c>
    </row>
    <row r="11" spans="1:31" x14ac:dyDescent="0.25">
      <c r="A11" s="32">
        <v>1987</v>
      </c>
      <c r="B11" s="33">
        <v>7.3600505482716905E-2</v>
      </c>
      <c r="C11" s="33">
        <v>2.058731120342034</v>
      </c>
      <c r="D11" s="33">
        <v>2.1323316258247509</v>
      </c>
      <c r="E11" s="33">
        <v>2.9059598600793182E-2</v>
      </c>
      <c r="F11" s="33">
        <v>2.007619658201258</v>
      </c>
      <c r="G11" s="33">
        <v>2.0366792568020515</v>
      </c>
      <c r="H11" s="33">
        <v>0.1614350709880347</v>
      </c>
      <c r="I11" s="33">
        <v>1.4772176925894358</v>
      </c>
      <c r="J11" s="33">
        <v>1.6386527635774706</v>
      </c>
      <c r="K11" s="33">
        <v>0.67047630289385385</v>
      </c>
      <c r="L11" s="33">
        <v>2.7809939424238057</v>
      </c>
      <c r="M11" s="33">
        <v>3.4514702453176596</v>
      </c>
      <c r="N11" s="33">
        <v>0.83899947287688281</v>
      </c>
      <c r="O11" s="33">
        <v>5.3001621872774116</v>
      </c>
      <c r="P11" s="33">
        <v>6.1391616601542944</v>
      </c>
      <c r="Q11" s="33">
        <v>1.5478093723763184</v>
      </c>
      <c r="R11" s="33">
        <v>7.160426535759604</v>
      </c>
      <c r="S11" s="33">
        <v>8.7082359081359222</v>
      </c>
      <c r="T11" s="33">
        <v>2.0573167151004026</v>
      </c>
      <c r="U11" s="33">
        <v>11.347387506725658</v>
      </c>
      <c r="V11" s="33">
        <v>13.40470422182606</v>
      </c>
      <c r="W11" s="33">
        <v>3.1824117936709349</v>
      </c>
      <c r="X11" s="33">
        <v>14.17619798998871</v>
      </c>
      <c r="Y11" s="33">
        <v>17.358609783659645</v>
      </c>
      <c r="Z11" s="34">
        <v>2.1698262229574556</v>
      </c>
      <c r="AA11" s="34">
        <v>11.630268555051964</v>
      </c>
      <c r="AB11" s="34">
        <v>13.80009477800942</v>
      </c>
      <c r="AC11" s="35">
        <v>2544</v>
      </c>
      <c r="AD11" s="35">
        <v>71160</v>
      </c>
      <c r="AE11" s="35">
        <v>73704</v>
      </c>
    </row>
    <row r="12" spans="1:31" x14ac:dyDescent="0.25">
      <c r="A12" s="32">
        <v>1989</v>
      </c>
      <c r="B12" s="33">
        <v>8.2370392953068916E-2</v>
      </c>
      <c r="C12" s="33">
        <v>2.3142467188044717</v>
      </c>
      <c r="D12" s="33">
        <v>2.396617111757541</v>
      </c>
      <c r="E12" s="33">
        <v>3.5881398803712911E-2</v>
      </c>
      <c r="F12" s="33">
        <v>2.1404634440214894</v>
      </c>
      <c r="G12" s="33">
        <v>2.1763448428252024</v>
      </c>
      <c r="H12" s="33">
        <v>0.17275764389060375</v>
      </c>
      <c r="I12" s="33">
        <v>2.2644800968797769</v>
      </c>
      <c r="J12" s="33">
        <v>2.4372377407703807</v>
      </c>
      <c r="K12" s="33">
        <v>0.6944179803445838</v>
      </c>
      <c r="L12" s="33">
        <v>4.5313596054802563</v>
      </c>
      <c r="M12" s="33">
        <v>5.2257775858248401</v>
      </c>
      <c r="N12" s="33">
        <v>1.1404262766634627</v>
      </c>
      <c r="O12" s="33">
        <v>7.4918102432297777</v>
      </c>
      <c r="P12" s="33">
        <v>8.6322365198932403</v>
      </c>
      <c r="Q12" s="33">
        <v>1.4396470324216981</v>
      </c>
      <c r="R12" s="33">
        <v>9.6682178157731684</v>
      </c>
      <c r="S12" s="33">
        <v>11.107864848194867</v>
      </c>
      <c r="T12" s="33">
        <v>2.258269854779134</v>
      </c>
      <c r="U12" s="33">
        <v>16.184267292583794</v>
      </c>
      <c r="V12" s="33">
        <v>18.442537147362927</v>
      </c>
      <c r="W12" s="33">
        <v>1.6937023910843503</v>
      </c>
      <c r="X12" s="33">
        <v>26.534670793654826</v>
      </c>
      <c r="Y12" s="33">
        <v>28.228373184739176</v>
      </c>
      <c r="Z12" s="34">
        <v>2.2018131084096559</v>
      </c>
      <c r="AA12" s="34">
        <v>17.219307642690897</v>
      </c>
      <c r="AB12" s="34">
        <v>19.421120751100553</v>
      </c>
      <c r="AC12" s="35">
        <v>2918</v>
      </c>
      <c r="AD12" s="35">
        <v>81983</v>
      </c>
      <c r="AE12" s="35">
        <v>84901</v>
      </c>
    </row>
    <row r="13" spans="1:31" x14ac:dyDescent="0.25">
      <c r="A13" s="32">
        <v>1991</v>
      </c>
      <c r="B13" s="33">
        <v>7.4894571487828673E-2</v>
      </c>
      <c r="C13" s="33">
        <v>2.4161592307970867</v>
      </c>
      <c r="D13" s="33">
        <v>2.4910538022849154</v>
      </c>
      <c r="E13" s="33">
        <v>3.0665013804133352E-2</v>
      </c>
      <c r="F13" s="33">
        <v>2.2112035450950671</v>
      </c>
      <c r="G13" s="33">
        <v>2.2418685588992</v>
      </c>
      <c r="H13" s="33">
        <v>0.24251575529392139</v>
      </c>
      <c r="I13" s="33">
        <v>2.6764521591035035</v>
      </c>
      <c r="J13" s="33">
        <v>2.9189679143974248</v>
      </c>
      <c r="K13" s="33">
        <v>0.55828004753747751</v>
      </c>
      <c r="L13" s="33">
        <v>4.6795390225407969</v>
      </c>
      <c r="M13" s="33">
        <v>5.2378190700782747</v>
      </c>
      <c r="N13" s="33">
        <v>1.1906316492936866</v>
      </c>
      <c r="O13" s="33">
        <v>9.4921325035856121</v>
      </c>
      <c r="P13" s="33">
        <v>10.682764152879299</v>
      </c>
      <c r="Q13" s="33">
        <v>1.2619598126154281</v>
      </c>
      <c r="R13" s="33">
        <v>10.171121750590652</v>
      </c>
      <c r="S13" s="33">
        <v>11.433081563206079</v>
      </c>
      <c r="T13" s="33">
        <v>1.7984451435823736</v>
      </c>
      <c r="U13" s="33">
        <v>15.30202478098901</v>
      </c>
      <c r="V13" s="33">
        <v>17.100469924571382</v>
      </c>
      <c r="W13" s="33">
        <v>2.1947127175920489</v>
      </c>
      <c r="X13" s="33">
        <v>31.548995315385703</v>
      </c>
      <c r="Y13" s="33">
        <v>33.743708032977757</v>
      </c>
      <c r="Z13" s="34">
        <v>1.8380719009833408</v>
      </c>
      <c r="AA13" s="34">
        <v>16.926721834428676</v>
      </c>
      <c r="AB13" s="34">
        <v>18.764793735412017</v>
      </c>
      <c r="AC13" s="35">
        <v>2730</v>
      </c>
      <c r="AD13" s="35">
        <v>88072</v>
      </c>
      <c r="AE13" s="35">
        <v>90802</v>
      </c>
    </row>
    <row r="14" spans="1:31" x14ac:dyDescent="0.25">
      <c r="A14" s="32">
        <v>1993</v>
      </c>
      <c r="B14" s="33">
        <v>7.5042948133539233E-2</v>
      </c>
      <c r="C14" s="33">
        <v>2.8568092644469809</v>
      </c>
      <c r="D14" s="33">
        <v>2.9318522125805204</v>
      </c>
      <c r="E14" s="33">
        <v>2.7264376093552398E-2</v>
      </c>
      <c r="F14" s="33">
        <v>2.6835037072211074</v>
      </c>
      <c r="G14" s="33">
        <v>2.7107680833146603</v>
      </c>
      <c r="H14" s="33">
        <v>0.21302166376390941</v>
      </c>
      <c r="I14" s="33">
        <v>2.8345363664382477</v>
      </c>
      <c r="J14" s="33">
        <v>3.0475580302021572</v>
      </c>
      <c r="K14" s="33">
        <v>0.63030144183308645</v>
      </c>
      <c r="L14" s="33">
        <v>4.7687191438794159</v>
      </c>
      <c r="M14" s="33">
        <v>5.3990205857125027</v>
      </c>
      <c r="N14" s="33">
        <v>1.2673440755574359</v>
      </c>
      <c r="O14" s="33">
        <v>8.9954464597012898</v>
      </c>
      <c r="P14" s="33">
        <v>10.262790535258725</v>
      </c>
      <c r="Q14" s="33">
        <v>1.4830622160778506</v>
      </c>
      <c r="R14" s="33">
        <v>11.291496417865453</v>
      </c>
      <c r="S14" s="33">
        <v>12.774558633943304</v>
      </c>
      <c r="T14" s="33">
        <v>2.2770248166043769</v>
      </c>
      <c r="U14" s="33">
        <v>17.497138064433631</v>
      </c>
      <c r="V14" s="33">
        <v>19.774162881038009</v>
      </c>
      <c r="W14" s="33">
        <v>3.2357721078062189</v>
      </c>
      <c r="X14" s="33">
        <v>32.897016429363227</v>
      </c>
      <c r="Y14" s="33">
        <v>36.132788537169446</v>
      </c>
      <c r="Z14" s="34">
        <v>2.372899545724561</v>
      </c>
      <c r="AA14" s="34">
        <v>19.03712590092659</v>
      </c>
      <c r="AB14" s="34">
        <v>21.410025446651151</v>
      </c>
      <c r="AC14" s="35">
        <v>2783</v>
      </c>
      <c r="AD14" s="35">
        <v>105946</v>
      </c>
      <c r="AE14" s="35">
        <v>108729</v>
      </c>
    </row>
    <row r="15" spans="1:31" s="40" customFormat="1" ht="15.75" x14ac:dyDescent="0.25">
      <c r="A15" s="36">
        <v>1995</v>
      </c>
      <c r="B15" s="37">
        <v>7.9885907768330863E-2</v>
      </c>
      <c r="C15" s="37">
        <v>3.6122891955243612</v>
      </c>
      <c r="D15" s="37">
        <v>3.6921751032926919</v>
      </c>
      <c r="E15" s="37">
        <v>2.8016099918753312E-2</v>
      </c>
      <c r="F15" s="37">
        <v>3.4401695433568413</v>
      </c>
      <c r="G15" s="37">
        <v>3.4681856432755955</v>
      </c>
      <c r="H15" s="37">
        <v>0.17023115950632964</v>
      </c>
      <c r="I15" s="37">
        <v>2.8779205116540303</v>
      </c>
      <c r="J15" s="37">
        <v>3.0481516711603605</v>
      </c>
      <c r="K15" s="37">
        <v>0.74509484783922486</v>
      </c>
      <c r="L15" s="37">
        <v>6.0988381323133689</v>
      </c>
      <c r="M15" s="37">
        <v>6.8439329801525934</v>
      </c>
      <c r="N15" s="37">
        <v>1.1419895966882301</v>
      </c>
      <c r="O15" s="37">
        <v>10.400643569838133</v>
      </c>
      <c r="P15" s="37">
        <v>11.542633166526363</v>
      </c>
      <c r="Q15" s="37">
        <v>1.9878089942353536</v>
      </c>
      <c r="R15" s="37">
        <v>13.807934959956988</v>
      </c>
      <c r="S15" s="37">
        <v>15.795743954192343</v>
      </c>
      <c r="T15" s="37">
        <v>2.5199666593587633</v>
      </c>
      <c r="U15" s="37">
        <v>19.803973275901811</v>
      </c>
      <c r="V15" s="37">
        <v>22.323939935260572</v>
      </c>
      <c r="W15" s="37">
        <v>4.2691199876195522</v>
      </c>
      <c r="X15" s="37">
        <v>32.285219906372859</v>
      </c>
      <c r="Y15" s="37">
        <v>36.554339893992413</v>
      </c>
      <c r="Z15" s="38">
        <v>2.6948819921848419</v>
      </c>
      <c r="AA15" s="38">
        <v>21.052097938948915</v>
      </c>
      <c r="AB15" s="38">
        <v>23.746979931133758</v>
      </c>
      <c r="AC15" s="39">
        <v>2994</v>
      </c>
      <c r="AD15" s="39">
        <v>135383</v>
      </c>
      <c r="AE15" s="39">
        <v>138377</v>
      </c>
    </row>
    <row r="16" spans="1:31" x14ac:dyDescent="0.25">
      <c r="A16" s="32" t="s">
        <v>87</v>
      </c>
      <c r="B16" s="33" t="s">
        <v>87</v>
      </c>
      <c r="C16" s="33" t="s">
        <v>87</v>
      </c>
      <c r="D16" s="33" t="s">
        <v>87</v>
      </c>
      <c r="E16" s="33" t="s">
        <v>87</v>
      </c>
      <c r="F16" s="33" t="s">
        <v>87</v>
      </c>
      <c r="G16" s="33" t="s">
        <v>87</v>
      </c>
      <c r="H16" s="33" t="s">
        <v>87</v>
      </c>
      <c r="I16" s="33" t="s">
        <v>87</v>
      </c>
      <c r="J16" s="33" t="s">
        <v>87</v>
      </c>
      <c r="K16" s="33" t="s">
        <v>87</v>
      </c>
      <c r="L16" s="33" t="s">
        <v>87</v>
      </c>
      <c r="M16" s="33" t="s">
        <v>87</v>
      </c>
      <c r="N16" s="33" t="s">
        <v>87</v>
      </c>
      <c r="O16" s="33" t="s">
        <v>87</v>
      </c>
      <c r="P16" s="33" t="s">
        <v>87</v>
      </c>
      <c r="Q16" s="33" t="s">
        <v>87</v>
      </c>
      <c r="R16" s="33" t="s">
        <v>87</v>
      </c>
      <c r="S16" s="33" t="s">
        <v>87</v>
      </c>
      <c r="T16" s="33" t="s">
        <v>87</v>
      </c>
      <c r="U16" s="33" t="s">
        <v>87</v>
      </c>
      <c r="V16" s="33" t="s">
        <v>87</v>
      </c>
      <c r="W16" s="33" t="s">
        <v>87</v>
      </c>
      <c r="X16" s="33" t="s">
        <v>87</v>
      </c>
      <c r="Y16" s="33" t="s">
        <v>87</v>
      </c>
      <c r="Z16" s="33" t="s">
        <v>87</v>
      </c>
      <c r="AA16" s="33" t="s">
        <v>87</v>
      </c>
      <c r="AB16" s="33" t="s">
        <v>87</v>
      </c>
      <c r="AC16" t="s">
        <v>87</v>
      </c>
      <c r="AD16" t="s">
        <v>87</v>
      </c>
      <c r="AE16" t="s">
        <v>87</v>
      </c>
    </row>
    <row r="17" spans="1:31" s="40" customFormat="1" ht="15.75" x14ac:dyDescent="0.25">
      <c r="A17" s="41">
        <v>2001</v>
      </c>
      <c r="B17" s="42">
        <v>2.4814259764961287E-2</v>
      </c>
      <c r="C17" s="42">
        <v>5.2750471226460069</v>
      </c>
      <c r="D17" s="42">
        <v>5.2998613824109686</v>
      </c>
      <c r="E17" s="42">
        <v>3.3683286380461956E-3</v>
      </c>
      <c r="F17" s="42">
        <v>5.2388647537276389</v>
      </c>
      <c r="G17" s="42">
        <v>5.2422330823656864</v>
      </c>
      <c r="H17" s="42">
        <v>3.8627123575013633E-2</v>
      </c>
      <c r="I17" s="42">
        <v>3.7399856737377122</v>
      </c>
      <c r="J17" s="42">
        <v>3.7786127973127255</v>
      </c>
      <c r="K17" s="42">
        <v>0.25364329562706733</v>
      </c>
      <c r="L17" s="42">
        <v>6.4773774627847223</v>
      </c>
      <c r="M17" s="42">
        <v>6.7310207584117894</v>
      </c>
      <c r="N17" s="42">
        <v>0.68453130386100103</v>
      </c>
      <c r="O17" s="42">
        <v>9.5981067819938932</v>
      </c>
      <c r="P17" s="42">
        <v>10.282638085854893</v>
      </c>
      <c r="Q17" s="42">
        <v>1.2040416683983679</v>
      </c>
      <c r="R17" s="42">
        <v>13.054989866491947</v>
      </c>
      <c r="S17" s="42">
        <v>14.259031534890315</v>
      </c>
      <c r="T17" s="42">
        <v>1.4668527939878593</v>
      </c>
      <c r="U17" s="42">
        <v>13.527642433443591</v>
      </c>
      <c r="V17" s="42">
        <v>14.99449522743145</v>
      </c>
      <c r="W17" s="42">
        <v>1.4668527939878593</v>
      </c>
      <c r="X17" s="42">
        <v>15.890905268201807</v>
      </c>
      <c r="Y17" s="42">
        <v>17.357758062189667</v>
      </c>
      <c r="Z17" s="43">
        <v>1.4668527939878595</v>
      </c>
      <c r="AA17" s="43">
        <v>13.763968716919413</v>
      </c>
      <c r="AB17" s="43">
        <v>15.230821510907273</v>
      </c>
      <c r="AC17" s="44">
        <v>1015</v>
      </c>
      <c r="AD17" s="44">
        <v>215770</v>
      </c>
      <c r="AE17" s="44">
        <v>216785</v>
      </c>
    </row>
    <row r="18" spans="1:31" s="40" customFormat="1" ht="15.75" x14ac:dyDescent="0.25">
      <c r="A18" s="41">
        <v>2002</v>
      </c>
      <c r="B18" s="42">
        <v>2.0553207326795758E-2</v>
      </c>
      <c r="C18" s="42">
        <v>5.8720585788145456</v>
      </c>
      <c r="D18" s="42">
        <v>5.8926117861413418</v>
      </c>
      <c r="E18" s="42">
        <v>2.8713842328856841E-3</v>
      </c>
      <c r="F18" s="42">
        <v>5.8964277752807464</v>
      </c>
      <c r="G18" s="42">
        <v>5.8992991595136326</v>
      </c>
      <c r="H18" s="42">
        <v>3.2363452194954533E-2</v>
      </c>
      <c r="I18" s="42">
        <v>3.7763801382112621</v>
      </c>
      <c r="J18" s="42">
        <v>3.8087435904062161</v>
      </c>
      <c r="K18" s="42">
        <v>0.16604383122411373</v>
      </c>
      <c r="L18" s="42">
        <v>6.4986536562368595</v>
      </c>
      <c r="M18" s="42">
        <v>6.6646974874609732</v>
      </c>
      <c r="N18" s="42">
        <v>0.70040306989080703</v>
      </c>
      <c r="O18" s="42">
        <v>9.9457235924494611</v>
      </c>
      <c r="P18" s="42">
        <v>10.646126662340267</v>
      </c>
      <c r="Q18" s="42">
        <v>1.2196674148098539</v>
      </c>
      <c r="R18" s="42">
        <v>12.872925387993112</v>
      </c>
      <c r="S18" s="42">
        <v>14.092592802802963</v>
      </c>
      <c r="T18" s="42">
        <v>1.2075914998117365</v>
      </c>
      <c r="U18" s="42">
        <v>14.464262631078356</v>
      </c>
      <c r="V18" s="42">
        <v>15.671854130890091</v>
      </c>
      <c r="W18" s="42">
        <v>2.415182999623473</v>
      </c>
      <c r="X18" s="42">
        <v>22.702720196460646</v>
      </c>
      <c r="Y18" s="42">
        <v>25.117903196084118</v>
      </c>
      <c r="Z18" s="43">
        <v>1.3283506497929101</v>
      </c>
      <c r="AA18" s="43">
        <v>15.288108387616585</v>
      </c>
      <c r="AB18" s="43">
        <v>16.616459037409495</v>
      </c>
      <c r="AC18" s="45">
        <v>851</v>
      </c>
      <c r="AD18" s="45">
        <v>243131</v>
      </c>
      <c r="AE18" s="45">
        <v>243982</v>
      </c>
    </row>
    <row r="19" spans="1:31" x14ac:dyDescent="0.25">
      <c r="A19" s="32">
        <v>2003</v>
      </c>
      <c r="B19" s="33">
        <v>5.7164866196246458E-2</v>
      </c>
      <c r="C19" s="33">
        <v>6.7964584526755383</v>
      </c>
      <c r="D19" s="33">
        <v>6.8536233188717848</v>
      </c>
      <c r="E19" s="33">
        <v>9.2595090979717878E-3</v>
      </c>
      <c r="F19" s="33">
        <v>6.7853629606847878</v>
      </c>
      <c r="G19" s="33">
        <v>6.7946224697827589</v>
      </c>
      <c r="H19" s="33">
        <v>0.12607790038269895</v>
      </c>
      <c r="I19" s="33">
        <v>4.6414814917403451</v>
      </c>
      <c r="J19" s="33">
        <v>4.7675593921230437</v>
      </c>
      <c r="K19" s="33">
        <v>0.60352631291149916</v>
      </c>
      <c r="L19" s="33">
        <v>7.8285302349370935</v>
      </c>
      <c r="M19" s="33">
        <v>8.4320565478485925</v>
      </c>
      <c r="N19" s="33">
        <v>1.3944979890813674</v>
      </c>
      <c r="O19" s="33">
        <v>13.180871403645799</v>
      </c>
      <c r="P19" s="33">
        <v>14.575369392727167</v>
      </c>
      <c r="Q19" s="33">
        <v>2.2565078761676234</v>
      </c>
      <c r="R19" s="33">
        <v>15.491105657817418</v>
      </c>
      <c r="S19" s="33">
        <v>17.747613533985039</v>
      </c>
      <c r="T19" s="33">
        <v>2.17558666485297</v>
      </c>
      <c r="U19" s="33">
        <v>15.680142913757383</v>
      </c>
      <c r="V19" s="33">
        <v>17.855729578610351</v>
      </c>
      <c r="W19" s="33">
        <v>4.298110240319283</v>
      </c>
      <c r="X19" s="33">
        <v>24.355958028475936</v>
      </c>
      <c r="Y19" s="33">
        <v>28.654068268795218</v>
      </c>
      <c r="Z19" s="34">
        <v>2.3878390223996018</v>
      </c>
      <c r="AA19" s="34">
        <v>16.547724425229241</v>
      </c>
      <c r="AB19" s="34">
        <v>18.935563447628841</v>
      </c>
      <c r="AC19" s="35">
        <v>2394</v>
      </c>
      <c r="AD19" s="35">
        <v>284628</v>
      </c>
      <c r="AE19" s="35">
        <v>287022</v>
      </c>
    </row>
    <row r="20" spans="1:31" x14ac:dyDescent="0.25">
      <c r="A20" s="32">
        <v>2004</v>
      </c>
      <c r="B20" s="33">
        <v>8.0752348612347674E-2</v>
      </c>
      <c r="C20" s="33">
        <v>6.7363217600095879</v>
      </c>
      <c r="D20" s="33">
        <v>6.8170741086219344</v>
      </c>
      <c r="E20" s="33">
        <v>1.2634346749489265E-2</v>
      </c>
      <c r="F20" s="33">
        <v>6.6675012674975873</v>
      </c>
      <c r="G20" s="33">
        <v>6.6801356142470762</v>
      </c>
      <c r="H20" s="33">
        <v>0.21562268954626285</v>
      </c>
      <c r="I20" s="33">
        <v>5.1183258997764973</v>
      </c>
      <c r="J20" s="33">
        <v>5.3339485893227598</v>
      </c>
      <c r="K20" s="33">
        <v>0.85989573675725184</v>
      </c>
      <c r="L20" s="33">
        <v>8.3264801176535528</v>
      </c>
      <c r="M20" s="33">
        <v>9.1863758544108052</v>
      </c>
      <c r="N20" s="33">
        <v>2.0005256097946487</v>
      </c>
      <c r="O20" s="33">
        <v>13.395028788224076</v>
      </c>
      <c r="P20" s="33">
        <v>15.395554398018724</v>
      </c>
      <c r="Q20" s="33">
        <v>2.8899102264132601</v>
      </c>
      <c r="R20" s="33">
        <v>15.747061845966131</v>
      </c>
      <c r="S20" s="33">
        <v>18.636972072379393</v>
      </c>
      <c r="T20" s="33">
        <v>2.5163844148360361</v>
      </c>
      <c r="U20" s="33">
        <v>13.289655190852818</v>
      </c>
      <c r="V20" s="33">
        <v>15.806039605688854</v>
      </c>
      <c r="W20" s="33">
        <v>3.7745766222540547</v>
      </c>
      <c r="X20" s="33">
        <v>46.710385700393928</v>
      </c>
      <c r="Y20" s="33">
        <v>50.484962322647974</v>
      </c>
      <c r="Z20" s="34">
        <v>2.6422036355778378</v>
      </c>
      <c r="AA20" s="34">
        <v>16.631728241806925</v>
      </c>
      <c r="AB20" s="34">
        <v>19.273931877384765</v>
      </c>
      <c r="AC20" s="35">
        <v>3423</v>
      </c>
      <c r="AD20" s="35">
        <v>285545</v>
      </c>
      <c r="AE20" s="35">
        <v>288968</v>
      </c>
    </row>
    <row r="21" spans="1:31" x14ac:dyDescent="0.25">
      <c r="A21" s="32">
        <v>2005</v>
      </c>
      <c r="B21" s="33">
        <v>8.8424193679989743E-2</v>
      </c>
      <c r="C21" s="33">
        <v>6.992155354291242</v>
      </c>
      <c r="D21" s="33">
        <v>7.080579547971233</v>
      </c>
      <c r="E21" s="33">
        <v>1.3547134573815695E-2</v>
      </c>
      <c r="F21" s="33">
        <v>6.8757277051853398</v>
      </c>
      <c r="G21" s="33">
        <v>6.8892748397591559</v>
      </c>
      <c r="H21" s="33">
        <v>0.20095347996876128</v>
      </c>
      <c r="I21" s="33">
        <v>5.7110885757247267</v>
      </c>
      <c r="J21" s="33">
        <v>5.9120420556934876</v>
      </c>
      <c r="K21" s="33">
        <v>0.98844867177209728</v>
      </c>
      <c r="L21" s="33">
        <v>9.0388269165763315</v>
      </c>
      <c r="M21" s="33">
        <v>10.027275588348427</v>
      </c>
      <c r="N21" s="33">
        <v>2.1867095616090264</v>
      </c>
      <c r="O21" s="33">
        <v>14.28588080334767</v>
      </c>
      <c r="P21" s="33">
        <v>16.472590364956694</v>
      </c>
      <c r="Q21" s="33">
        <v>3.3103705516895712</v>
      </c>
      <c r="R21" s="33">
        <v>17.192945646979286</v>
      </c>
      <c r="S21" s="33">
        <v>20.503316198668859</v>
      </c>
      <c r="T21" s="33">
        <v>2.5384688111547571</v>
      </c>
      <c r="U21" s="33">
        <v>15.826575955260783</v>
      </c>
      <c r="V21" s="33">
        <v>18.36504476641554</v>
      </c>
      <c r="W21" s="33">
        <v>1.8649974939096174</v>
      </c>
      <c r="X21" s="33">
        <v>24.478092107563729</v>
      </c>
      <c r="Y21" s="33">
        <v>26.343089601473345</v>
      </c>
      <c r="Z21" s="34">
        <v>2.4711216794302429</v>
      </c>
      <c r="AA21" s="34">
        <v>16.691727570491079</v>
      </c>
      <c r="AB21" s="34">
        <v>19.162849249921322</v>
      </c>
      <c r="AC21" s="35">
        <v>3793</v>
      </c>
      <c r="AD21" s="35">
        <v>299932</v>
      </c>
      <c r="AE21" s="35">
        <v>303725</v>
      </c>
    </row>
    <row r="22" spans="1:31" x14ac:dyDescent="0.25">
      <c r="A22" s="32">
        <v>2006</v>
      </c>
      <c r="B22" s="33">
        <v>9.6278024069506016E-2</v>
      </c>
      <c r="C22" s="33">
        <v>7.090855772713943</v>
      </c>
      <c r="D22" s="33">
        <v>7.1871337967834483</v>
      </c>
      <c r="E22" s="33">
        <v>1.4745559241945367E-2</v>
      </c>
      <c r="F22" s="33">
        <v>6.913111728277932</v>
      </c>
      <c r="G22" s="33">
        <v>6.9278572875198767</v>
      </c>
      <c r="H22" s="33">
        <v>0.20884005221001306</v>
      </c>
      <c r="I22" s="33">
        <v>6.0678615169653787</v>
      </c>
      <c r="J22" s="33">
        <v>6.2767015691753931</v>
      </c>
      <c r="K22" s="33">
        <v>1.0919252729813183</v>
      </c>
      <c r="L22" s="33">
        <v>9.7939774484943616</v>
      </c>
      <c r="M22" s="33">
        <v>10.885902721475681</v>
      </c>
      <c r="N22" s="33">
        <v>2.9026007256501818</v>
      </c>
      <c r="O22" s="33">
        <v>15.506603876650967</v>
      </c>
      <c r="P22" s="33">
        <v>18.409204602301152</v>
      </c>
      <c r="Q22" s="33">
        <v>3.0187507546876886</v>
      </c>
      <c r="R22" s="33">
        <v>19.04400476100119</v>
      </c>
      <c r="S22" s="33">
        <v>22.062755515688881</v>
      </c>
      <c r="T22" s="33">
        <v>2.2744450130556979</v>
      </c>
      <c r="U22" s="33">
        <v>18.911115838890073</v>
      </c>
      <c r="V22" s="33">
        <v>21.185560851945766</v>
      </c>
      <c r="W22" s="33">
        <v>2.5300006325001583</v>
      </c>
      <c r="X22" s="33">
        <v>31.74000793500198</v>
      </c>
      <c r="Y22" s="33">
        <v>34.270008567502138</v>
      </c>
      <c r="Z22" s="34">
        <v>2.3000005750001442</v>
      </c>
      <c r="AA22" s="34">
        <v>20.194005048501261</v>
      </c>
      <c r="AB22" s="34">
        <v>22.494005623501405</v>
      </c>
      <c r="AC22" s="35">
        <v>4186</v>
      </c>
      <c r="AD22" s="35">
        <v>308298</v>
      </c>
      <c r="AE22" s="35">
        <v>312484</v>
      </c>
    </row>
    <row r="23" spans="1:31" x14ac:dyDescent="0.25">
      <c r="A23" s="32">
        <v>2007</v>
      </c>
      <c r="B23" s="33">
        <v>0.10227547112107063</v>
      </c>
      <c r="C23" s="33">
        <v>7.7035926743838568</v>
      </c>
      <c r="D23" s="33">
        <v>7.8058681455049284</v>
      </c>
      <c r="E23" s="33">
        <v>1.3175947766627916E-2</v>
      </c>
      <c r="F23" s="33">
        <v>7.5231901072675242</v>
      </c>
      <c r="G23" s="33">
        <v>7.5363660550341525</v>
      </c>
      <c r="H23" s="33">
        <v>0.27466204258662075</v>
      </c>
      <c r="I23" s="33">
        <v>6.5787883654423647</v>
      </c>
      <c r="J23" s="33">
        <v>6.8534504080289853</v>
      </c>
      <c r="K23" s="33">
        <v>1.1897880833265004</v>
      </c>
      <c r="L23" s="33">
        <v>10.421798227752205</v>
      </c>
      <c r="M23" s="33">
        <v>11.611586311078705</v>
      </c>
      <c r="N23" s="33">
        <v>2.6969282800034962</v>
      </c>
      <c r="O23" s="33">
        <v>14.9257136300361</v>
      </c>
      <c r="P23" s="33">
        <v>17.622641910039597</v>
      </c>
      <c r="Q23" s="33">
        <v>3.4558628713612642</v>
      </c>
      <c r="R23" s="33">
        <v>21.395856894751358</v>
      </c>
      <c r="S23" s="33">
        <v>24.85171976611262</v>
      </c>
      <c r="T23" s="33">
        <v>1.8320841656454052</v>
      </c>
      <c r="U23" s="33">
        <v>25.071946321640542</v>
      </c>
      <c r="V23" s="33">
        <v>26.904030487285951</v>
      </c>
      <c r="W23" s="33">
        <v>1.3552403417102998</v>
      </c>
      <c r="X23" s="33">
        <v>41.334830422164146</v>
      </c>
      <c r="Y23" s="33">
        <v>42.690070763874438</v>
      </c>
      <c r="Z23" s="34">
        <v>1.7843997832518947</v>
      </c>
      <c r="AA23" s="34">
        <v>26.698234731692903</v>
      </c>
      <c r="AB23" s="34">
        <v>28.482634514944799</v>
      </c>
      <c r="AC23" s="35">
        <v>4528</v>
      </c>
      <c r="AD23" s="35">
        <v>341058</v>
      </c>
      <c r="AE23" s="35">
        <v>345586</v>
      </c>
    </row>
    <row r="24" spans="1:31" x14ac:dyDescent="0.25">
      <c r="A24" s="32">
        <v>2008</v>
      </c>
      <c r="B24" s="33">
        <v>0.11248651134815757</v>
      </c>
      <c r="C24" s="33">
        <v>7.5166065205469756</v>
      </c>
      <c r="D24" s="33">
        <v>7.6290930318951329</v>
      </c>
      <c r="E24" s="33">
        <v>1.577361472282663E-2</v>
      </c>
      <c r="F24" s="33">
        <v>7.2722506245565217</v>
      </c>
      <c r="G24" s="33">
        <v>7.2880242392793475</v>
      </c>
      <c r="H24" s="33">
        <v>0.28480956677103791</v>
      </c>
      <c r="I24" s="33">
        <v>6.8831926975534685</v>
      </c>
      <c r="J24" s="33">
        <v>7.1680022643245067</v>
      </c>
      <c r="K24" s="33">
        <v>1.3295167082382493</v>
      </c>
      <c r="L24" s="33">
        <v>10.66211590511065</v>
      </c>
      <c r="M24" s="33">
        <v>11.991632613348898</v>
      </c>
      <c r="N24" s="33">
        <v>2.9055882821206813</v>
      </c>
      <c r="O24" s="33">
        <v>16.66401316138619</v>
      </c>
      <c r="P24" s="33">
        <v>19.569601443506869</v>
      </c>
      <c r="Q24" s="33">
        <v>3.6264572166498614</v>
      </c>
      <c r="R24" s="33">
        <v>22.311556899998234</v>
      </c>
      <c r="S24" s="33">
        <v>25.938014116648095</v>
      </c>
      <c r="T24" s="33">
        <v>1.8672814936679505</v>
      </c>
      <c r="U24" s="33">
        <v>27.026442671509809</v>
      </c>
      <c r="V24" s="33">
        <v>28.893724165177758</v>
      </c>
      <c r="W24" s="33">
        <v>1.5478780802773797</v>
      </c>
      <c r="X24" s="33">
        <v>40.465955527251495</v>
      </c>
      <c r="Y24" s="33">
        <v>42.013833607528881</v>
      </c>
      <c r="Z24" s="34">
        <v>1.8353411523288934</v>
      </c>
      <c r="AA24" s="34">
        <v>28.370393957083973</v>
      </c>
      <c r="AB24" s="34">
        <v>30.205735109412867</v>
      </c>
      <c r="AC24" s="35">
        <v>5087</v>
      </c>
      <c r="AD24" s="35">
        <v>339925</v>
      </c>
      <c r="AE24" s="35">
        <v>345012</v>
      </c>
    </row>
    <row r="25" spans="1:31" x14ac:dyDescent="0.25">
      <c r="A25" s="32">
        <v>2009</v>
      </c>
      <c r="B25" s="33">
        <v>0.11840327337437372</v>
      </c>
      <c r="C25" s="33">
        <v>7.7623498897171128</v>
      </c>
      <c r="D25" s="33">
        <v>7.8807531630914864</v>
      </c>
      <c r="E25" s="33">
        <v>1.7562161778914124E-2</v>
      </c>
      <c r="F25" s="33">
        <v>7.4587974653959579</v>
      </c>
      <c r="G25" s="33">
        <v>7.4763596271748725</v>
      </c>
      <c r="H25" s="33">
        <v>0.25567801962589698</v>
      </c>
      <c r="I25" s="33">
        <v>7.2159468294077556</v>
      </c>
      <c r="J25" s="33">
        <v>7.4716248490336516</v>
      </c>
      <c r="K25" s="33">
        <v>1.3376352174730706</v>
      </c>
      <c r="L25" s="33">
        <v>11.687050973631031</v>
      </c>
      <c r="M25" s="33">
        <v>13.024686191104101</v>
      </c>
      <c r="N25" s="33">
        <v>3.104661666885892</v>
      </c>
      <c r="O25" s="33">
        <v>17.64091370105891</v>
      </c>
      <c r="P25" s="33">
        <v>20.745575367944806</v>
      </c>
      <c r="Q25" s="33">
        <v>4.5276315975419257</v>
      </c>
      <c r="R25" s="33">
        <v>25.524319306190733</v>
      </c>
      <c r="S25" s="33">
        <v>30.05195090373266</v>
      </c>
      <c r="T25" s="33">
        <v>2.6331164152704809</v>
      </c>
      <c r="U25" s="33">
        <v>29.544049319961445</v>
      </c>
      <c r="V25" s="33">
        <v>32.177165735231924</v>
      </c>
      <c r="W25" s="33">
        <v>3.0437859479273448</v>
      </c>
      <c r="X25" s="33">
        <v>42.613003270982823</v>
      </c>
      <c r="Y25" s="33">
        <v>45.65678921891017</v>
      </c>
      <c r="Z25" s="34">
        <v>2.6741833685361671</v>
      </c>
      <c r="AA25" s="34">
        <v>30.850944715063594</v>
      </c>
      <c r="AB25" s="34">
        <v>33.52512808359976</v>
      </c>
      <c r="AC25" s="35">
        <v>5446</v>
      </c>
      <c r="AD25" s="35">
        <v>357032</v>
      </c>
      <c r="AE25" s="35">
        <v>362478</v>
      </c>
    </row>
    <row r="26" spans="1:31" x14ac:dyDescent="0.25">
      <c r="A26" s="32">
        <v>2010</v>
      </c>
      <c r="B26" s="33">
        <v>0.11897669764955733</v>
      </c>
      <c r="C26" s="33">
        <v>7.8069948793782222</v>
      </c>
      <c r="D26" s="33">
        <v>7.925971577027779</v>
      </c>
      <c r="E26" s="33">
        <v>1.5888295955760325E-2</v>
      </c>
      <c r="F26" s="33">
        <v>7.5323128813622127</v>
      </c>
      <c r="G26" s="33">
        <v>7.5482011773179734</v>
      </c>
      <c r="H26" s="33">
        <v>0.23161710481615871</v>
      </c>
      <c r="I26" s="33">
        <v>7.0611107388778294</v>
      </c>
      <c r="J26" s="33">
        <v>7.2927278436939886</v>
      </c>
      <c r="K26" s="33">
        <v>1.3796416271165834</v>
      </c>
      <c r="L26" s="33">
        <v>11.38873291957642</v>
      </c>
      <c r="M26" s="33">
        <v>12.768374546693003</v>
      </c>
      <c r="N26" s="33">
        <v>3.2537707885449287</v>
      </c>
      <c r="O26" s="33">
        <v>17.566080980789266</v>
      </c>
      <c r="P26" s="33">
        <v>20.819851769334196</v>
      </c>
      <c r="Q26" s="33">
        <v>4.6558891217665925</v>
      </c>
      <c r="R26" s="33">
        <v>25.082933693931054</v>
      </c>
      <c r="S26" s="33">
        <v>29.738822815697645</v>
      </c>
      <c r="T26" s="33">
        <v>2.9731092731587436</v>
      </c>
      <c r="U26" s="33">
        <v>29.850017102513789</v>
      </c>
      <c r="V26" s="33">
        <v>32.82312637567253</v>
      </c>
      <c r="W26" s="33">
        <v>3.4250218826788719</v>
      </c>
      <c r="X26" s="33">
        <v>42.812773533485903</v>
      </c>
      <c r="Y26" s="33">
        <v>46.237795416164772</v>
      </c>
      <c r="Z26" s="34">
        <v>3.0183005341107565</v>
      </c>
      <c r="AA26" s="34">
        <v>31.146292745610999</v>
      </c>
      <c r="AB26" s="34">
        <v>34.164593279721757</v>
      </c>
      <c r="AC26" s="35">
        <v>5558</v>
      </c>
      <c r="AD26" s="35">
        <v>364704</v>
      </c>
      <c r="AE26" s="35">
        <v>370262</v>
      </c>
    </row>
    <row r="27" spans="1:31" x14ac:dyDescent="0.25">
      <c r="A27" s="46"/>
      <c r="B27" s="46"/>
      <c r="C27" s="46"/>
      <c r="D27" s="46"/>
      <c r="E27" s="46"/>
      <c r="F27" s="46"/>
      <c r="G27" s="46"/>
      <c r="H27" s="46"/>
      <c r="I27" s="46"/>
      <c r="J27" s="46"/>
      <c r="K27" s="46"/>
      <c r="L27" s="46"/>
      <c r="M27" s="46"/>
      <c r="N27" s="46"/>
      <c r="O27" s="46"/>
      <c r="P27" s="46"/>
    </row>
    <row r="28" spans="1:31" x14ac:dyDescent="0.25">
      <c r="A28" s="47" t="s">
        <v>88</v>
      </c>
      <c r="B28" s="46"/>
      <c r="C28" s="46"/>
      <c r="D28" s="46"/>
      <c r="E28" s="46"/>
      <c r="F28" s="46"/>
      <c r="G28" s="46"/>
      <c r="H28" s="46"/>
      <c r="I28" s="46"/>
      <c r="J28" s="46"/>
      <c r="K28" s="46"/>
      <c r="L28" s="46"/>
      <c r="M28" s="46"/>
      <c r="N28" s="46"/>
      <c r="O28" s="46"/>
      <c r="P28" s="46"/>
    </row>
    <row r="29" spans="1:31" x14ac:dyDescent="0.25">
      <c r="A29" s="50" t="s">
        <v>89</v>
      </c>
      <c r="B29" s="50"/>
      <c r="C29" s="50"/>
      <c r="D29" s="50"/>
      <c r="E29" s="50"/>
      <c r="F29" s="50"/>
      <c r="G29" s="50"/>
      <c r="H29" s="50"/>
      <c r="I29" s="50"/>
      <c r="J29" s="50"/>
      <c r="K29" s="50"/>
      <c r="L29" s="50"/>
      <c r="M29" s="50"/>
      <c r="N29" s="48"/>
      <c r="O29" s="48"/>
      <c r="P29" s="48"/>
    </row>
    <row r="30" spans="1:31" x14ac:dyDescent="0.25">
      <c r="A30" s="48" t="s">
        <v>90</v>
      </c>
      <c r="B30" s="48"/>
      <c r="C30" s="48"/>
      <c r="D30" s="48"/>
      <c r="E30" s="48"/>
      <c r="F30" s="48"/>
      <c r="G30" s="48"/>
      <c r="H30" s="48"/>
      <c r="I30" s="48"/>
      <c r="J30" s="48"/>
      <c r="K30" s="48"/>
      <c r="L30" s="48"/>
      <c r="M30" s="48"/>
      <c r="N30" s="48"/>
      <c r="O30" s="48"/>
      <c r="P30" s="48"/>
    </row>
    <row r="31" spans="1:31" x14ac:dyDescent="0.25">
      <c r="A31" s="48" t="s">
        <v>91</v>
      </c>
    </row>
    <row r="32" spans="1:31" x14ac:dyDescent="0.25">
      <c r="A32" s="48" t="s">
        <v>92</v>
      </c>
      <c r="B32" s="48"/>
      <c r="C32" s="48"/>
      <c r="D32" s="48"/>
      <c r="E32" s="48"/>
      <c r="F32" s="48"/>
      <c r="G32" s="48"/>
      <c r="H32" s="48"/>
      <c r="I32" s="48"/>
      <c r="J32" s="48"/>
      <c r="K32" s="48"/>
      <c r="L32" s="48"/>
      <c r="M32" s="48"/>
      <c r="N32" s="48"/>
      <c r="O32" s="48"/>
      <c r="P32" s="48"/>
    </row>
    <row r="35" spans="4:4" x14ac:dyDescent="0.25">
      <c r="D35" s="49"/>
    </row>
  </sheetData>
  <mergeCells count="10">
    <mergeCell ref="T2:V2"/>
    <mergeCell ref="W2:Y2"/>
    <mergeCell ref="Z2:AB2"/>
    <mergeCell ref="AC2:AE2"/>
    <mergeCell ref="B2:D2"/>
    <mergeCell ref="E2:G2"/>
    <mergeCell ref="H2:J2"/>
    <mergeCell ref="K2:M2"/>
    <mergeCell ref="N2:P2"/>
    <mergeCell ref="Q2:S2"/>
  </mergeCells>
  <pageMargins left="0.75" right="0.75" top="1" bottom="1" header="0.5" footer="0.5"/>
  <pageSetup paperSize="9" orientation="portrait"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workbookViewId="0">
      <selection activeCell="A2" sqref="A2"/>
    </sheetView>
  </sheetViews>
  <sheetFormatPr baseColWidth="10" defaultRowHeight="15" x14ac:dyDescent="0.25"/>
  <cols>
    <col min="1" max="1" width="30.85546875" customWidth="1"/>
    <col min="2" max="2" width="2.85546875" customWidth="1"/>
    <col min="6" max="6" width="2.85546875" customWidth="1"/>
    <col min="10" max="10" width="2.85546875" customWidth="1"/>
    <col min="14" max="14" width="2.85546875" customWidth="1"/>
    <col min="18" max="18" width="2.85546875" customWidth="1"/>
    <col min="22" max="22" width="2.85546875" customWidth="1"/>
  </cols>
  <sheetData>
    <row r="1" spans="1:25" s="12" customFormat="1" x14ac:dyDescent="0.25">
      <c r="A1" s="12" t="s">
        <v>128</v>
      </c>
    </row>
    <row r="2" spans="1:25" x14ac:dyDescent="0.25">
      <c r="A2" t="s">
        <v>98</v>
      </c>
    </row>
    <row r="3" spans="1:25" x14ac:dyDescent="0.25">
      <c r="C3" s="60" t="str">
        <f>"Top 10% Shares"</f>
        <v>Top 10% Shares</v>
      </c>
      <c r="D3" s="60"/>
      <c r="E3" s="60"/>
      <c r="G3" s="60" t="str">
        <f>"Top 5% Shares"</f>
        <v>Top 5% Shares</v>
      </c>
      <c r="H3" s="60"/>
      <c r="I3" s="60"/>
      <c r="K3" s="60" t="str">
        <f>"Top 1% Shares"</f>
        <v>Top 1% Shares</v>
      </c>
      <c r="L3" s="60"/>
      <c r="M3" s="60"/>
      <c r="O3" s="60" t="str">
        <f>"Top 0.5% Shares"</f>
        <v>Top 0.5% Shares</v>
      </c>
      <c r="P3" s="60"/>
      <c r="Q3" s="60"/>
      <c r="S3" s="60" t="str">
        <f>"Top 0.1% Shares"</f>
        <v>Top 0.1% Shares</v>
      </c>
      <c r="T3" s="60"/>
      <c r="U3" s="60"/>
      <c r="W3" s="60" t="str">
        <f>"Top 0.01% Shares"</f>
        <v>Top 0.01% Shares</v>
      </c>
      <c r="X3" s="60"/>
      <c r="Y3" s="60"/>
    </row>
    <row r="4" spans="1:25" x14ac:dyDescent="0.25">
      <c r="A4" s="53" t="s">
        <v>97</v>
      </c>
      <c r="B4" s="29"/>
      <c r="C4" s="51" t="str">
        <f>"Model I"</f>
        <v>Model I</v>
      </c>
      <c r="D4" s="51" t="str">
        <f>"Model II"</f>
        <v>Model II</v>
      </c>
      <c r="E4" s="51" t="str">
        <f>"Model III"</f>
        <v>Model III</v>
      </c>
      <c r="F4" s="29"/>
      <c r="G4" s="51" t="str">
        <f>"Model I"</f>
        <v>Model I</v>
      </c>
      <c r="H4" s="51" t="str">
        <f>"Model II"</f>
        <v>Model II</v>
      </c>
      <c r="I4" s="51" t="str">
        <f>"Model III"</f>
        <v>Model III</v>
      </c>
      <c r="J4" s="29"/>
      <c r="K4" s="51" t="str">
        <f>"Model I"</f>
        <v>Model I</v>
      </c>
      <c r="L4" s="51" t="str">
        <f>"Model II"</f>
        <v>Model II</v>
      </c>
      <c r="M4" s="51" t="str">
        <f>"Model III"</f>
        <v>Model III</v>
      </c>
      <c r="N4" s="29"/>
      <c r="O4" s="51" t="str">
        <f>"Model I"</f>
        <v>Model I</v>
      </c>
      <c r="P4" s="51" t="str">
        <f>"Model II"</f>
        <v>Model II</v>
      </c>
      <c r="Q4" s="51" t="str">
        <f>"Model III"</f>
        <v>Model III</v>
      </c>
      <c r="R4" s="29"/>
      <c r="S4" s="51" t="str">
        <f>"Model I"</f>
        <v>Model I</v>
      </c>
      <c r="T4" s="51" t="str">
        <f>"Model II"</f>
        <v>Model II</v>
      </c>
      <c r="U4" s="51" t="str">
        <f>"Model III"</f>
        <v>Model III</v>
      </c>
      <c r="V4" s="29"/>
      <c r="W4" s="51" t="str">
        <f>"Model I"</f>
        <v>Model I</v>
      </c>
      <c r="X4" s="51" t="str">
        <f>"Model II"</f>
        <v>Model II</v>
      </c>
      <c r="Y4" s="51" t="str">
        <f>"Model III"</f>
        <v>Model III</v>
      </c>
    </row>
    <row r="5" spans="1:25" x14ac:dyDescent="0.25">
      <c r="A5" s="29"/>
      <c r="B5" s="29"/>
      <c r="C5" s="29"/>
      <c r="D5" s="29"/>
      <c r="E5" s="29"/>
      <c r="F5" s="29"/>
      <c r="G5" s="29"/>
      <c r="H5" s="29"/>
      <c r="I5" s="29"/>
      <c r="J5" s="29"/>
      <c r="K5" s="29"/>
      <c r="L5" s="29"/>
      <c r="M5" s="29"/>
      <c r="N5" s="29"/>
      <c r="O5" s="29"/>
      <c r="P5" s="29"/>
      <c r="Q5" s="29"/>
      <c r="R5" s="29"/>
      <c r="S5" s="29"/>
      <c r="T5" s="29"/>
      <c r="U5" s="29"/>
      <c r="V5" s="29"/>
      <c r="W5" s="29"/>
      <c r="X5" s="29"/>
      <c r="Y5" s="29"/>
    </row>
    <row r="6" spans="1:25" x14ac:dyDescent="0.25">
      <c r="A6" s="29" t="str">
        <f>"Basel City (BS)"</f>
        <v>Basel City (BS)</v>
      </c>
      <c r="B6" s="29"/>
      <c r="C6" s="29" t="str">
        <f>"0.573***"</f>
        <v>0.573***</v>
      </c>
      <c r="D6" s="29" t="str">
        <f>"0.00559"</f>
        <v>0.00559</v>
      </c>
      <c r="E6" s="29" t="str">
        <f>"-0.0121"</f>
        <v>-0.0121</v>
      </c>
      <c r="F6" s="29"/>
      <c r="G6" s="29" t="str">
        <f>"0.574***"</f>
        <v>0.574***</v>
      </c>
      <c r="H6" s="29" t="str">
        <f>"0.0319"</f>
        <v>0.0319</v>
      </c>
      <c r="I6" s="29" t="str">
        <f>"-0.00846"</f>
        <v>-0.00846</v>
      </c>
      <c r="J6" s="29"/>
      <c r="K6" s="29" t="str">
        <f>"0.522***"</f>
        <v>0.522***</v>
      </c>
      <c r="L6" s="29" t="str">
        <f>"0.135"</f>
        <v>0.135</v>
      </c>
      <c r="M6" s="29" t="str">
        <f>"0.00117"</f>
        <v>0.00117</v>
      </c>
      <c r="N6" s="29"/>
      <c r="O6" s="29" t="str">
        <f>"0.486***"</f>
        <v>0.486***</v>
      </c>
      <c r="P6" s="29" t="str">
        <f>"0.165"</f>
        <v>0.165</v>
      </c>
      <c r="Q6" s="29" t="str">
        <f>"0.00959"</f>
        <v>0.00959</v>
      </c>
      <c r="R6" s="29"/>
      <c r="S6" s="29" t="str">
        <f>"0.406***"</f>
        <v>0.406***</v>
      </c>
      <c r="T6" s="29" t="str">
        <f>"0.199*"</f>
        <v>0.199*</v>
      </c>
      <c r="U6" s="29" t="str">
        <f>"0.0255"</f>
        <v>0.0255</v>
      </c>
      <c r="V6" s="29"/>
      <c r="W6" s="29" t="str">
        <f>"0.346***"</f>
        <v>0.346***</v>
      </c>
      <c r="X6" s="29" t="str">
        <f>"0.163*"</f>
        <v>0.163*</v>
      </c>
      <c r="Y6" s="29" t="str">
        <f>"0.0337**"</f>
        <v>0.0337**</v>
      </c>
    </row>
    <row r="7" spans="1:25" x14ac:dyDescent="0.25">
      <c r="A7" s="29" t="str">
        <f>""</f>
        <v/>
      </c>
      <c r="B7" s="29"/>
      <c r="C7" s="29" t="str">
        <f>"(0.0779)"</f>
        <v>(0.0779)</v>
      </c>
      <c r="D7" s="29" t="str">
        <f>"(0.0544)"</f>
        <v>(0.0544)</v>
      </c>
      <c r="E7" s="29" t="str">
        <f>"(0.0456)"</f>
        <v>(0.0456)</v>
      </c>
      <c r="F7" s="29"/>
      <c r="G7" s="29" t="str">
        <f>"(0.0724)"</f>
        <v>(0.0724)</v>
      </c>
      <c r="H7" s="29" t="str">
        <f>"(0.0654)"</f>
        <v>(0.0654)</v>
      </c>
      <c r="I7" s="29" t="str">
        <f>"(0.0423)"</f>
        <v>(0.0423)</v>
      </c>
      <c r="J7" s="29"/>
      <c r="K7" s="29" t="str">
        <f>"(0.0565)"</f>
        <v>(0.0565)</v>
      </c>
      <c r="L7" s="29" t="str">
        <f>"(0.0801)"</f>
        <v>(0.0801)</v>
      </c>
      <c r="M7" s="29" t="str">
        <f>"(0.0335)"</f>
        <v>(0.0335)</v>
      </c>
      <c r="N7" s="29"/>
      <c r="O7" s="29" t="str">
        <f>"(0.0512)"</f>
        <v>(0.0512)</v>
      </c>
      <c r="P7" s="29" t="str">
        <f>"(0.0766)"</f>
        <v>(0.0766)</v>
      </c>
      <c r="Q7" s="29" t="str">
        <f>"(0.0272)"</f>
        <v>(0.0272)</v>
      </c>
      <c r="R7" s="29"/>
      <c r="S7" s="29" t="str">
        <f>"(0.0426)"</f>
        <v>(0.0426)</v>
      </c>
      <c r="T7" s="29" t="str">
        <f>"(0.0650)"</f>
        <v>(0.0650)</v>
      </c>
      <c r="U7" s="29" t="str">
        <f>"(0.0163)"</f>
        <v>(0.0163)</v>
      </c>
      <c r="V7" s="29"/>
      <c r="W7" s="29" t="str">
        <f>"(0.0396)"</f>
        <v>(0.0396)</v>
      </c>
      <c r="X7" s="29" t="str">
        <f>"(0.0697)"</f>
        <v>(0.0697)</v>
      </c>
      <c r="Y7" s="29" t="str">
        <f>"(0.00877)"</f>
        <v>(0.00877)</v>
      </c>
    </row>
    <row r="8" spans="1:25" x14ac:dyDescent="0.25">
      <c r="A8" s="29"/>
      <c r="B8" s="29"/>
      <c r="C8" s="29"/>
      <c r="D8" s="29"/>
      <c r="E8" s="29"/>
      <c r="F8" s="29"/>
      <c r="G8" s="29"/>
      <c r="H8" s="29"/>
      <c r="I8" s="29"/>
      <c r="J8" s="29"/>
      <c r="K8" s="29"/>
      <c r="L8" s="29"/>
      <c r="M8" s="29"/>
      <c r="N8" s="29"/>
      <c r="O8" s="29"/>
      <c r="P8" s="29"/>
      <c r="Q8" s="29"/>
      <c r="R8" s="29"/>
      <c r="S8" s="29"/>
      <c r="T8" s="29"/>
      <c r="U8" s="29"/>
      <c r="V8" s="29"/>
      <c r="W8" s="29"/>
      <c r="X8" s="29"/>
      <c r="Y8" s="29"/>
    </row>
    <row r="9" spans="1:25" x14ac:dyDescent="0.25">
      <c r="A9" s="29" t="str">
        <f>"Zurich and Thurgau (ZH TG)"</f>
        <v>Zurich and Thurgau (ZH TG)</v>
      </c>
      <c r="B9" s="29"/>
      <c r="C9" s="29" t="str">
        <f>""</f>
        <v/>
      </c>
      <c r="D9" s="29" t="str">
        <f>"0.893***"</f>
        <v>0.893***</v>
      </c>
      <c r="E9" s="29" t="str">
        <f>"0.509*"</f>
        <v>0.509*</v>
      </c>
      <c r="F9" s="29"/>
      <c r="G9" s="29" t="str">
        <f>""</f>
        <v/>
      </c>
      <c r="H9" s="29" t="str">
        <f>"0.891***"</f>
        <v>0.891***</v>
      </c>
      <c r="I9" s="29" t="str">
        <f>"0.413*"</f>
        <v>0.413*</v>
      </c>
      <c r="J9" s="29"/>
      <c r="K9" s="29" t="str">
        <f>""</f>
        <v/>
      </c>
      <c r="L9" s="29" t="str">
        <f>"0.774***"</f>
        <v>0.774***</v>
      </c>
      <c r="M9" s="29" t="str">
        <f>"0.363**"</f>
        <v>0.363**</v>
      </c>
      <c r="N9" s="29"/>
      <c r="O9" s="29" t="str">
        <f>""</f>
        <v/>
      </c>
      <c r="P9" s="29" t="str">
        <f>"0.723**"</f>
        <v>0.723**</v>
      </c>
      <c r="Q9" s="29" t="str">
        <f>"0.344***"</f>
        <v>0.344***</v>
      </c>
      <c r="R9" s="29"/>
      <c r="S9" s="29" t="str">
        <f>""</f>
        <v/>
      </c>
      <c r="T9" s="29" t="str">
        <f>"0.608**"</f>
        <v>0.608**</v>
      </c>
      <c r="U9" s="29" t="str">
        <f>"0.302***"</f>
        <v>0.302***</v>
      </c>
      <c r="V9" s="29"/>
      <c r="W9" s="29" t="str">
        <f>""</f>
        <v/>
      </c>
      <c r="X9" s="29" t="str">
        <f>"0.589*"</f>
        <v>0.589*</v>
      </c>
      <c r="Y9" s="29" t="str">
        <f>"0.286***"</f>
        <v>0.286***</v>
      </c>
    </row>
    <row r="10" spans="1:25" x14ac:dyDescent="0.25">
      <c r="A10" s="29" t="str">
        <f>""</f>
        <v/>
      </c>
      <c r="B10" s="29"/>
      <c r="C10" s="29" t="str">
        <f>""</f>
        <v/>
      </c>
      <c r="D10" s="29" t="str">
        <f>"(0.0790)"</f>
        <v>(0.0790)</v>
      </c>
      <c r="E10" s="29" t="str">
        <f>"(0.180)"</f>
        <v>(0.180)</v>
      </c>
      <c r="F10" s="29"/>
      <c r="G10" s="29" t="str">
        <f>""</f>
        <v/>
      </c>
      <c r="H10" s="29" t="str">
        <f>"(0.0999)"</f>
        <v>(0.0999)</v>
      </c>
      <c r="I10" s="29" t="str">
        <f>"(0.139)"</f>
        <v>(0.139)</v>
      </c>
      <c r="J10" s="29"/>
      <c r="K10" s="29" t="str">
        <f>""</f>
        <v/>
      </c>
      <c r="L10" s="29" t="str">
        <f>"(0.149)"</f>
        <v>(0.149)</v>
      </c>
      <c r="M10" s="29" t="str">
        <f>"(0.0751)"</f>
        <v>(0.0751)</v>
      </c>
      <c r="N10" s="29"/>
      <c r="O10" s="29" t="str">
        <f>""</f>
        <v/>
      </c>
      <c r="P10" s="29" t="str">
        <f>"(0.159)"</f>
        <v>(0.159)</v>
      </c>
      <c r="Q10" s="29" t="str">
        <f>"(0.0601)"</f>
        <v>(0.0601)</v>
      </c>
      <c r="R10" s="29"/>
      <c r="S10" s="29" t="str">
        <f>""</f>
        <v/>
      </c>
      <c r="T10" s="29" t="str">
        <f>"(0.171)"</f>
        <v>(0.171)</v>
      </c>
      <c r="U10" s="29" t="str">
        <f>"(0.0372)"</f>
        <v>(0.0372)</v>
      </c>
      <c r="V10" s="29"/>
      <c r="W10" s="29" t="str">
        <f>""</f>
        <v/>
      </c>
      <c r="X10" s="29" t="str">
        <f>"(0.204)"</f>
        <v>(0.204)</v>
      </c>
      <c r="Y10" s="29" t="str">
        <f>"(0.0243)"</f>
        <v>(0.0243)</v>
      </c>
    </row>
    <row r="11" spans="1:25" x14ac:dyDescent="0.25">
      <c r="A11" s="29"/>
      <c r="B11" s="29"/>
      <c r="C11" s="29"/>
      <c r="D11" s="29"/>
      <c r="E11" s="29"/>
      <c r="F11" s="29"/>
      <c r="G11" s="29"/>
      <c r="H11" s="29"/>
      <c r="I11" s="29"/>
      <c r="J11" s="29"/>
      <c r="K11" s="29"/>
      <c r="L11" s="29"/>
      <c r="M11" s="29"/>
      <c r="N11" s="29"/>
      <c r="O11" s="29"/>
      <c r="P11" s="29"/>
      <c r="Q11" s="29"/>
      <c r="R11" s="29"/>
      <c r="S11" s="29"/>
      <c r="T11" s="29"/>
      <c r="U11" s="29"/>
      <c r="V11" s="29"/>
      <c r="W11" s="29"/>
      <c r="X11" s="29"/>
      <c r="Y11" s="29"/>
    </row>
    <row r="12" spans="1:25" x14ac:dyDescent="0.25">
      <c r="A12" s="29" t="str">
        <f>"Twenty Cantons"</f>
        <v>Twenty Cantons</v>
      </c>
      <c r="B12" s="29"/>
      <c r="C12" s="29" t="str">
        <f>""</f>
        <v/>
      </c>
      <c r="D12" s="29" t="str">
        <f>""</f>
        <v/>
      </c>
      <c r="E12" s="29" t="str">
        <f>"0.476"</f>
        <v>0.476</v>
      </c>
      <c r="F12" s="29"/>
      <c r="G12" s="29" t="str">
        <f>""</f>
        <v/>
      </c>
      <c r="H12" s="29" t="str">
        <f>""</f>
        <v/>
      </c>
      <c r="I12" s="29" t="str">
        <f>"0.597**"</f>
        <v>0.597**</v>
      </c>
      <c r="J12" s="29"/>
      <c r="K12" s="29" t="str">
        <f>""</f>
        <v/>
      </c>
      <c r="L12" s="29" t="str">
        <f>""</f>
        <v/>
      </c>
      <c r="M12" s="29" t="str">
        <f>"0.623***"</f>
        <v>0.623***</v>
      </c>
      <c r="N12" s="29"/>
      <c r="O12" s="29" t="str">
        <f>""</f>
        <v/>
      </c>
      <c r="P12" s="29" t="str">
        <f>""</f>
        <v/>
      </c>
      <c r="Q12" s="29" t="str">
        <f>"0.617***"</f>
        <v>0.617***</v>
      </c>
      <c r="R12" s="29"/>
      <c r="S12" s="29" t="str">
        <f>""</f>
        <v/>
      </c>
      <c r="T12" s="29" t="str">
        <f>""</f>
        <v/>
      </c>
      <c r="U12" s="29" t="str">
        <f>"0.603***"</f>
        <v>0.603***</v>
      </c>
      <c r="V12" s="29"/>
      <c r="W12" s="29" t="str">
        <f>""</f>
        <v/>
      </c>
      <c r="X12" s="29" t="str">
        <f>""</f>
        <v/>
      </c>
      <c r="Y12" s="29" t="str">
        <f>"0.608***"</f>
        <v>0.608***</v>
      </c>
    </row>
    <row r="13" spans="1:25" x14ac:dyDescent="0.25">
      <c r="A13" s="29" t="str">
        <f>""</f>
        <v/>
      </c>
      <c r="B13" s="29"/>
      <c r="C13" s="29" t="str">
        <f>""</f>
        <v/>
      </c>
      <c r="D13" s="29" t="str">
        <f>""</f>
        <v/>
      </c>
      <c r="E13" s="29" t="str">
        <f>"(0.208)"</f>
        <v>(0.208)</v>
      </c>
      <c r="F13" s="29"/>
      <c r="G13" s="29" t="str">
        <f>""</f>
        <v/>
      </c>
      <c r="H13" s="29" t="str">
        <f>""</f>
        <v/>
      </c>
      <c r="I13" s="29" t="str">
        <f>"(0.154)"</f>
        <v>(0.154)</v>
      </c>
      <c r="J13" s="29"/>
      <c r="K13" s="29" t="str">
        <f>""</f>
        <v/>
      </c>
      <c r="L13" s="29" t="str">
        <f>""</f>
        <v/>
      </c>
      <c r="M13" s="29" t="str">
        <f>"(0.0795)"</f>
        <v>(0.0795)</v>
      </c>
      <c r="N13" s="29"/>
      <c r="O13" s="29" t="str">
        <f>""</f>
        <v/>
      </c>
      <c r="P13" s="29" t="str">
        <f>""</f>
        <v/>
      </c>
      <c r="Q13" s="29" t="str">
        <f>"(0.0622)"</f>
        <v>(0.0622)</v>
      </c>
      <c r="R13" s="29"/>
      <c r="S13" s="29" t="str">
        <f>""</f>
        <v/>
      </c>
      <c r="T13" s="29" t="str">
        <f>""</f>
        <v/>
      </c>
      <c r="U13" s="29" t="str">
        <f>"(0.0380)"</f>
        <v>(0.0380)</v>
      </c>
      <c r="V13" s="29"/>
      <c r="W13" s="29" t="str">
        <f>""</f>
        <v/>
      </c>
      <c r="X13" s="29" t="str">
        <f>""</f>
        <v/>
      </c>
      <c r="Y13" s="29" t="str">
        <f>"(0.0218)"</f>
        <v>(0.0218)</v>
      </c>
    </row>
    <row r="14" spans="1:25" x14ac:dyDescent="0.25">
      <c r="A14" s="29"/>
      <c r="B14" s="29"/>
      <c r="C14" s="29"/>
      <c r="D14" s="29"/>
      <c r="E14" s="29"/>
      <c r="F14" s="29"/>
      <c r="G14" s="29"/>
      <c r="H14" s="29"/>
      <c r="I14" s="29"/>
      <c r="J14" s="29"/>
      <c r="K14" s="29"/>
      <c r="L14" s="29"/>
      <c r="M14" s="29"/>
      <c r="N14" s="29"/>
      <c r="O14" s="29"/>
      <c r="P14" s="29"/>
      <c r="Q14" s="29"/>
      <c r="R14" s="29"/>
      <c r="S14" s="29"/>
      <c r="T14" s="29"/>
      <c r="U14" s="29"/>
      <c r="V14" s="29"/>
      <c r="W14" s="29"/>
      <c r="X14" s="29"/>
      <c r="Y14" s="29"/>
    </row>
    <row r="15" spans="1:25" x14ac:dyDescent="0.25">
      <c r="A15" s="29" t="str">
        <f>"Constant"</f>
        <v>Constant</v>
      </c>
      <c r="B15" s="29"/>
      <c r="C15" s="29" t="str">
        <f>"0.123***"</f>
        <v>0.123***</v>
      </c>
      <c r="D15" s="29" t="str">
        <f>"0.0258*"</f>
        <v>0.0258*</v>
      </c>
      <c r="E15" s="29" t="str">
        <f>"0.00922"</f>
        <v>0.00922</v>
      </c>
      <c r="F15" s="29"/>
      <c r="G15" s="29" t="str">
        <f>"0.0804***"</f>
        <v>0.0804***</v>
      </c>
      <c r="H15" s="29" t="str">
        <f>"0.00986"</f>
        <v>0.00986</v>
      </c>
      <c r="I15" s="29" t="str">
        <f>"0.000815"</f>
        <v>0.000815</v>
      </c>
      <c r="J15" s="29"/>
      <c r="K15" s="29" t="str">
        <f>"0.0375***"</f>
        <v>0.0375***</v>
      </c>
      <c r="L15" s="29" t="str">
        <f>"0.00392"</f>
        <v>0.00392</v>
      </c>
      <c r="M15" s="29" t="str">
        <f>"0.00135"</f>
        <v>0.00135</v>
      </c>
      <c r="N15" s="29"/>
      <c r="O15" s="29" t="str">
        <f>"0.0284***"</f>
        <v>0.0284***</v>
      </c>
      <c r="P15" s="29" t="str">
        <f>"0.00392"</f>
        <v>0.00392</v>
      </c>
      <c r="Q15" s="29" t="str">
        <f>"0.00181"</f>
        <v>0.00181</v>
      </c>
      <c r="R15" s="29"/>
      <c r="S15" s="29" t="str">
        <f>"0.0158***"</f>
        <v>0.0158***</v>
      </c>
      <c r="T15" s="29" t="str">
        <f>"0.00493"</f>
        <v>0.00493</v>
      </c>
      <c r="U15" s="29" t="str">
        <f>"0.00189*"</f>
        <v>0.00189*</v>
      </c>
      <c r="V15" s="29"/>
      <c r="W15" s="29" t="str">
        <f>"0.00676***"</f>
        <v>0.00676***</v>
      </c>
      <c r="X15" s="29" t="str">
        <f>"0.00343*"</f>
        <v>0.00343*</v>
      </c>
      <c r="Y15" s="29" t="str">
        <f>"0.000565*"</f>
        <v>0.000565*</v>
      </c>
    </row>
    <row r="16" spans="1:25" x14ac:dyDescent="0.25">
      <c r="A16" s="29" t="str">
        <f>""</f>
        <v/>
      </c>
      <c r="B16" s="29"/>
      <c r="C16" s="29" t="str">
        <f>"(0.0257)"</f>
        <v>(0.0257)</v>
      </c>
      <c r="D16" s="29" t="str">
        <f>"(0.0110)"</f>
        <v>(0.0110)</v>
      </c>
      <c r="E16" s="29" t="str">
        <f>"(0.0116)"</f>
        <v>(0.0116)</v>
      </c>
      <c r="F16" s="29"/>
      <c r="G16" s="29" t="str">
        <f>"(0.0167)"</f>
        <v>(0.0167)</v>
      </c>
      <c r="H16" s="29" t="str">
        <f>"(0.00968)"</f>
        <v>(0.00968)</v>
      </c>
      <c r="I16" s="29" t="str">
        <f>"(0.00650)"</f>
        <v>(0.00650)</v>
      </c>
      <c r="J16" s="29"/>
      <c r="K16" s="29" t="str">
        <f>"(0.00618)"</f>
        <v>(0.00618)</v>
      </c>
      <c r="L16" s="29" t="str">
        <f>"(0.00724)"</f>
        <v>(0.00724)</v>
      </c>
      <c r="M16" s="29" t="str">
        <f>"(0.00263)"</f>
        <v>(0.00263)</v>
      </c>
      <c r="N16" s="29"/>
      <c r="O16" s="29" t="str">
        <f>"(0.00422)"</f>
        <v>(0.00422)</v>
      </c>
      <c r="P16" s="29" t="str">
        <f>"(0.00592)"</f>
        <v>(0.00592)</v>
      </c>
      <c r="Q16" s="29" t="str">
        <f>"(0.00174)"</f>
        <v>(0.00174)</v>
      </c>
      <c r="R16" s="29"/>
      <c r="S16" s="29" t="str">
        <f>"(0.00193)"</f>
        <v>(0.00193)</v>
      </c>
      <c r="T16" s="29" t="str">
        <f>"(0.00333)"</f>
        <v>(0.00333)</v>
      </c>
      <c r="U16" s="29" t="str">
        <f>"(0.000648)"</f>
        <v>(0.000648)</v>
      </c>
      <c r="V16" s="29"/>
      <c r="W16" s="29" t="str">
        <f>"(0.000792)"</f>
        <v>(0.000792)</v>
      </c>
      <c r="X16" s="29" t="str">
        <f>"(0.00130)"</f>
        <v>(0.00130)</v>
      </c>
      <c r="Y16" s="29" t="str">
        <f>"(0.000172)"</f>
        <v>(0.000172)</v>
      </c>
    </row>
    <row r="17" spans="1:25" x14ac:dyDescent="0.25">
      <c r="A17" s="29"/>
      <c r="B17" s="29"/>
      <c r="C17" s="29"/>
      <c r="D17" s="29"/>
      <c r="E17" s="29"/>
      <c r="F17" s="29"/>
      <c r="G17" s="29"/>
      <c r="H17" s="29"/>
      <c r="I17" s="29"/>
      <c r="J17" s="29"/>
      <c r="K17" s="29"/>
      <c r="L17" s="29"/>
      <c r="M17" s="29"/>
      <c r="N17" s="29"/>
      <c r="O17" s="29"/>
      <c r="P17" s="29"/>
      <c r="Q17" s="29"/>
      <c r="R17" s="29"/>
      <c r="S17" s="29"/>
      <c r="T17" s="29"/>
      <c r="U17" s="29"/>
      <c r="V17" s="29"/>
      <c r="W17" s="29"/>
      <c r="X17" s="29"/>
      <c r="Y17" s="29"/>
    </row>
    <row r="18" spans="1:25" x14ac:dyDescent="0.25">
      <c r="A18" s="29" t="str">
        <f>"Observations"</f>
        <v>Observations</v>
      </c>
      <c r="B18" s="29"/>
      <c r="C18" s="29" t="str">
        <f>"12"</f>
        <v>12</v>
      </c>
      <c r="D18" s="29" t="str">
        <f>"12"</f>
        <v>12</v>
      </c>
      <c r="E18" s="29" t="str">
        <f>"12"</f>
        <v>12</v>
      </c>
      <c r="F18" s="29"/>
      <c r="G18" s="29" t="str">
        <f>"12"</f>
        <v>12</v>
      </c>
      <c r="H18" s="29" t="str">
        <f>"12"</f>
        <v>12</v>
      </c>
      <c r="I18" s="29" t="str">
        <f>"12"</f>
        <v>12</v>
      </c>
      <c r="J18" s="29"/>
      <c r="K18" s="29" t="str">
        <f>"12"</f>
        <v>12</v>
      </c>
      <c r="L18" s="29" t="str">
        <f>"12"</f>
        <v>12</v>
      </c>
      <c r="M18" s="29" t="str">
        <f>"12"</f>
        <v>12</v>
      </c>
      <c r="N18" s="29"/>
      <c r="O18" s="29" t="str">
        <f>"12"</f>
        <v>12</v>
      </c>
      <c r="P18" s="29" t="str">
        <f>"12"</f>
        <v>12</v>
      </c>
      <c r="Q18" s="29" t="str">
        <f>"12"</f>
        <v>12</v>
      </c>
      <c r="R18" s="29"/>
      <c r="S18" s="29" t="str">
        <f>"12"</f>
        <v>12</v>
      </c>
      <c r="T18" s="29" t="str">
        <f>"12"</f>
        <v>12</v>
      </c>
      <c r="U18" s="29" t="str">
        <f>"12"</f>
        <v>12</v>
      </c>
      <c r="V18" s="29"/>
      <c r="W18" s="29" t="str">
        <f>"12"</f>
        <v>12</v>
      </c>
      <c r="X18" s="29" t="str">
        <f>"12"</f>
        <v>12</v>
      </c>
      <c r="Y18" s="29" t="str">
        <f>"12"</f>
        <v>12</v>
      </c>
    </row>
    <row r="19" spans="1:25" ht="15.75" thickBot="1" x14ac:dyDescent="0.3">
      <c r="A19" s="52" t="str">
        <f>"R-squared"</f>
        <v>R-squared</v>
      </c>
      <c r="B19" s="52"/>
      <c r="C19" s="52" t="str">
        <f>"0.844"</f>
        <v>0.844</v>
      </c>
      <c r="D19" s="52" t="str">
        <f>"0.990"</f>
        <v>0.990</v>
      </c>
      <c r="E19" s="52" t="str">
        <f>"0.994"</f>
        <v>0.994</v>
      </c>
      <c r="F19" s="52"/>
      <c r="G19" s="52" t="str">
        <f>"0.863"</f>
        <v>0.863</v>
      </c>
      <c r="H19" s="52" t="str">
        <f>"0.986"</f>
        <v>0.986</v>
      </c>
      <c r="I19" s="52" t="str">
        <f>"0.995"</f>
        <v>0.995</v>
      </c>
      <c r="J19" s="52"/>
      <c r="K19" s="52" t="str">
        <f>"0.895"</f>
        <v>0.895</v>
      </c>
      <c r="L19" s="52" t="str">
        <f>"0.974"</f>
        <v>0.974</v>
      </c>
      <c r="M19" s="52" t="str">
        <f>"0.997"</f>
        <v>0.997</v>
      </c>
      <c r="N19" s="52"/>
      <c r="O19" s="52" t="str">
        <f>"0.900"</f>
        <v>0.900</v>
      </c>
      <c r="P19" s="52" t="str">
        <f>"0.970"</f>
        <v>0.970</v>
      </c>
      <c r="Q19" s="52" t="str">
        <f>"0.998"</f>
        <v>0.998</v>
      </c>
      <c r="R19" s="52"/>
      <c r="S19" s="52" t="str">
        <f>"0.900"</f>
        <v>0.900</v>
      </c>
      <c r="T19" s="52" t="str">
        <f>"0.959"</f>
        <v>0.959</v>
      </c>
      <c r="U19" s="52" t="str">
        <f>"0.999"</f>
        <v>0.999</v>
      </c>
      <c r="V19" s="52"/>
      <c r="W19" s="52" t="str">
        <f>"0.884"</f>
        <v>0.884</v>
      </c>
      <c r="X19" s="52" t="str">
        <f>"0.940"</f>
        <v>0.940</v>
      </c>
      <c r="Y19" s="52" t="str">
        <f>"0.999"</f>
        <v>0.999</v>
      </c>
    </row>
    <row r="20" spans="1:25" ht="15.75" thickTop="1" x14ac:dyDescent="0.25">
      <c r="A20" t="str">
        <f>"Standard errors in parentheses"</f>
        <v>Standard errors in parentheses</v>
      </c>
    </row>
    <row r="21" spans="1:25" x14ac:dyDescent="0.25">
      <c r="A21" t="s">
        <v>100</v>
      </c>
      <c r="D21" t="s">
        <v>99</v>
      </c>
    </row>
    <row r="24" spans="1:25" x14ac:dyDescent="0.25">
      <c r="A24" t="s">
        <v>96</v>
      </c>
    </row>
    <row r="25" spans="1:25" x14ac:dyDescent="0.25">
      <c r="A25" t="s">
        <v>95</v>
      </c>
    </row>
    <row r="26" spans="1:25" x14ac:dyDescent="0.25">
      <c r="A26" t="s">
        <v>93</v>
      </c>
    </row>
    <row r="27" spans="1:25" x14ac:dyDescent="0.25">
      <c r="A27" t="s">
        <v>94</v>
      </c>
    </row>
  </sheetData>
  <mergeCells count="6">
    <mergeCell ref="W3:Y3"/>
    <mergeCell ref="C3:E3"/>
    <mergeCell ref="G3:I3"/>
    <mergeCell ref="K3:M3"/>
    <mergeCell ref="O3:Q3"/>
    <mergeCell ref="S3:U3"/>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Table of Conte</vt:lpstr>
      <vt:lpstr>F.1 Bi-annual vs. Annual</vt:lpstr>
      <vt:lpstr>F.2 Household Wealth SNB</vt:lpstr>
      <vt:lpstr>F.3 Offshore and Onshore Wealth</vt:lpstr>
      <vt:lpstr>F.4 Fiduciary Deposits</vt:lpstr>
      <vt:lpstr>F.5 Correlations</vt:lpstr>
      <vt:lpstr>F.6 Special cases</vt:lpstr>
      <vt:lpstr>F.7 OLS Regression results</vt:lpstr>
    </vt:vector>
  </TitlesOfParts>
  <Company>Universität St. Gallen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rfoellmi</dc:creator>
  <cp:lastModifiedBy>rfoellmi</cp:lastModifiedBy>
  <dcterms:created xsi:type="dcterms:W3CDTF">2015-11-17T07:55:03Z</dcterms:created>
  <dcterms:modified xsi:type="dcterms:W3CDTF">2016-07-26T08:37:58Z</dcterms:modified>
</cp:coreProperties>
</file>